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10920" tabRatio="879" firstSheet="17" activeTab="17"/>
  </bookViews>
  <sheets>
    <sheet name="Estruct. Presupuestaria" sheetId="12" r:id="rId1"/>
    <sheet name="Ingresos" sheetId="2" r:id="rId2"/>
    <sheet name="Hoja1" sheetId="28" state="hidden" r:id="rId3"/>
    <sheet name="Ingresos F.F." sheetId="13" r:id="rId4"/>
    <sheet name="Hoja7" sheetId="35" r:id="rId5"/>
    <sheet name="Hoja6" sheetId="34" r:id="rId6"/>
    <sheet name="Saldo en Bancos " sheetId="11" r:id="rId7"/>
    <sheet name="Egresos F. F." sheetId="9" r:id="rId8"/>
    <sheet name="Egresos" sheetId="3" r:id="rId9"/>
    <sheet name="Hoja5" sheetId="27" state="hidden" r:id="rId10"/>
    <sheet name="Endeudamiento " sheetId="21" r:id="rId11"/>
    <sheet name="Remuneraciones" sheetId="14" r:id="rId12"/>
    <sheet name="Proy. Inv. Soc." sheetId="16" r:id="rId13"/>
    <sheet name="Hoja2" sheetId="32" r:id="rId14"/>
    <sheet name="Hoja4" sheetId="33" r:id="rId15"/>
    <sheet name="Proy. Inv. Econ." sheetId="8" r:id="rId16"/>
    <sheet name="Centro Respons." sheetId="6" r:id="rId17"/>
    <sheet name="CONSOLIDADO" sheetId="15" r:id="rId18"/>
    <sheet name="RESUMEN 1" sheetId="4" r:id="rId19"/>
    <sheet name="RESUMEN 2" sheetId="10" r:id="rId20"/>
    <sheet name="RESUMEN 3" sheetId="18" r:id="rId21"/>
    <sheet name="RESUMEN 5" sheetId="20" r:id="rId22"/>
    <sheet name="RESUMEN 4" sheetId="19" r:id="rId23"/>
    <sheet name="proyeccion Ingresos" sheetId="31" r:id="rId24"/>
  </sheets>
  <externalReferences>
    <externalReference r:id="rId25"/>
    <externalReference r:id="rId26"/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9" l="1"/>
  <c r="E64" i="9"/>
  <c r="I63" i="31" l="1"/>
  <c r="J63" i="31" s="1"/>
  <c r="I62" i="31"/>
  <c r="J62" i="31" s="1"/>
  <c r="K51" i="31"/>
  <c r="G51" i="31"/>
  <c r="H83" i="31" s="1"/>
  <c r="I83" i="31" s="1"/>
  <c r="F51" i="31"/>
  <c r="H82" i="31" s="1"/>
  <c r="I82" i="31" s="1"/>
  <c r="E51" i="31"/>
  <c r="H81" i="31" s="1"/>
  <c r="I50" i="31"/>
  <c r="J50" i="31" s="1"/>
  <c r="I49" i="31"/>
  <c r="J49" i="31" s="1"/>
  <c r="I48" i="31"/>
  <c r="J48" i="31" s="1"/>
  <c r="H48" i="31"/>
  <c r="I47" i="31"/>
  <c r="J47" i="31" s="1"/>
  <c r="H47" i="31"/>
  <c r="I46" i="31"/>
  <c r="J46" i="31" s="1"/>
  <c r="H46" i="31"/>
  <c r="I45" i="31"/>
  <c r="J45" i="31" s="1"/>
  <c r="H45" i="31"/>
  <c r="J44" i="31"/>
  <c r="I43" i="31"/>
  <c r="J43" i="31" s="1"/>
  <c r="H43" i="31"/>
  <c r="I42" i="31"/>
  <c r="J42" i="31" s="1"/>
  <c r="H42" i="31"/>
  <c r="I41" i="31"/>
  <c r="J41" i="31" s="1"/>
  <c r="H41" i="31"/>
  <c r="I40" i="31"/>
  <c r="J40" i="31" s="1"/>
  <c r="H40" i="31"/>
  <c r="I39" i="31"/>
  <c r="J39" i="31" s="1"/>
  <c r="J38" i="31"/>
  <c r="I37" i="31"/>
  <c r="J37" i="31" s="1"/>
  <c r="H37" i="31"/>
  <c r="I36" i="31"/>
  <c r="J36" i="31" s="1"/>
  <c r="H36" i="31"/>
  <c r="I35" i="31"/>
  <c r="J35" i="31" s="1"/>
  <c r="H35" i="31"/>
  <c r="I34" i="31"/>
  <c r="J34" i="31" s="1"/>
  <c r="H34" i="31"/>
  <c r="I33" i="31"/>
  <c r="J33" i="31" s="1"/>
  <c r="H33" i="31"/>
  <c r="I32" i="31"/>
  <c r="J32" i="31" s="1"/>
  <c r="H32" i="31"/>
  <c r="I31" i="31"/>
  <c r="J31" i="31" s="1"/>
  <c r="H31" i="31"/>
  <c r="I30" i="31"/>
  <c r="J30" i="31" s="1"/>
  <c r="I29" i="31"/>
  <c r="J29" i="31" s="1"/>
  <c r="H29" i="31"/>
  <c r="I28" i="31"/>
  <c r="J28" i="31" s="1"/>
  <c r="H28" i="31"/>
  <c r="I27" i="31"/>
  <c r="J27" i="31" s="1"/>
  <c r="H27" i="31"/>
  <c r="I26" i="31"/>
  <c r="J26" i="31" s="1"/>
  <c r="H26" i="31"/>
  <c r="I24" i="31"/>
  <c r="J24" i="31" s="1"/>
  <c r="H24" i="31"/>
  <c r="I23" i="31"/>
  <c r="J23" i="31" s="1"/>
  <c r="H23" i="31"/>
  <c r="I22" i="31"/>
  <c r="J22" i="31" s="1"/>
  <c r="H22" i="31"/>
  <c r="I21" i="31"/>
  <c r="J21" i="31" s="1"/>
  <c r="H21" i="31"/>
  <c r="I20" i="31"/>
  <c r="J20" i="31" s="1"/>
  <c r="H20" i="31"/>
  <c r="I19" i="31"/>
  <c r="J19" i="31" s="1"/>
  <c r="H19" i="31"/>
  <c r="I18" i="31"/>
  <c r="J18" i="31" s="1"/>
  <c r="H18" i="31"/>
  <c r="I17" i="31"/>
  <c r="J17" i="31" s="1"/>
  <c r="H17" i="31"/>
  <c r="J16" i="31"/>
  <c r="I15" i="31"/>
  <c r="J15" i="31" s="1"/>
  <c r="H15" i="31"/>
  <c r="J14" i="31"/>
  <c r="I13" i="31"/>
  <c r="J13" i="31" s="1"/>
  <c r="H13" i="31"/>
  <c r="I12" i="31"/>
  <c r="J12" i="31" s="1"/>
  <c r="H12" i="31"/>
  <c r="I11" i="31"/>
  <c r="J11" i="31" s="1"/>
  <c r="H11" i="31"/>
  <c r="I10" i="31"/>
  <c r="J10" i="31" s="1"/>
  <c r="H10" i="31"/>
  <c r="I9" i="31"/>
  <c r="J9" i="31" s="1"/>
  <c r="H9" i="31"/>
  <c r="I8" i="31"/>
  <c r="J8" i="31" s="1"/>
  <c r="H8" i="31"/>
  <c r="I7" i="31"/>
  <c r="H7" i="31"/>
  <c r="H51" i="31" l="1"/>
  <c r="H84" i="31" s="1"/>
  <c r="I84" i="31" s="1"/>
  <c r="I51" i="31"/>
  <c r="H85" i="31" s="1"/>
  <c r="I85" i="31" s="1"/>
  <c r="I81" i="31"/>
  <c r="J7" i="31"/>
  <c r="J51" i="31" s="1"/>
  <c r="J71" i="31" s="1"/>
  <c r="J72" i="31" s="1"/>
  <c r="J75" i="31" s="1"/>
  <c r="E10" i="2"/>
  <c r="F9" i="2" s="1"/>
  <c r="E30" i="2"/>
  <c r="I87" i="31" l="1"/>
  <c r="H90" i="31" s="1"/>
  <c r="H87" i="31"/>
  <c r="H89" i="31" s="1"/>
  <c r="H92" i="31" s="1"/>
  <c r="H93" i="31" s="1"/>
  <c r="L88" i="15"/>
  <c r="E83" i="13"/>
  <c r="E82" i="13" s="1"/>
  <c r="C83" i="13"/>
  <c r="N21" i="15" l="1"/>
  <c r="H42" i="11" l="1"/>
  <c r="G133" i="15" l="1"/>
  <c r="E59" i="8" l="1"/>
  <c r="H16" i="8"/>
  <c r="G16" i="8"/>
  <c r="F16" i="8"/>
  <c r="E16" i="8"/>
  <c r="D16" i="8"/>
  <c r="E52" i="8"/>
  <c r="F32" i="16"/>
  <c r="G32" i="16"/>
  <c r="G42" i="11" l="1"/>
  <c r="D67" i="13" l="1"/>
  <c r="E20" i="20" l="1"/>
  <c r="H44" i="19"/>
  <c r="G44" i="19"/>
  <c r="F44" i="19"/>
  <c r="I43" i="19"/>
  <c r="I42" i="19"/>
  <c r="I41" i="19"/>
  <c r="I40" i="19"/>
  <c r="I39" i="19"/>
  <c r="I38" i="19"/>
  <c r="I36" i="19"/>
  <c r="I34" i="19"/>
  <c r="D32" i="19"/>
  <c r="I32" i="19" s="1"/>
  <c r="I30" i="19"/>
  <c r="G23" i="19"/>
  <c r="I23" i="19" s="1"/>
  <c r="I22" i="19"/>
  <c r="I21" i="19"/>
  <c r="I19" i="19"/>
  <c r="I17" i="19"/>
  <c r="I15" i="19"/>
  <c r="I13" i="19"/>
  <c r="I11" i="19"/>
  <c r="F24" i="18"/>
  <c r="I22" i="18"/>
  <c r="I21" i="18"/>
  <c r="I19" i="18"/>
  <c r="I18" i="18"/>
  <c r="I16" i="18"/>
  <c r="I15" i="18"/>
  <c r="R150" i="15"/>
  <c r="K150" i="15"/>
  <c r="G150" i="15"/>
  <c r="R149" i="15"/>
  <c r="K149" i="15"/>
  <c r="G149" i="15"/>
  <c r="R148" i="15"/>
  <c r="K148" i="15"/>
  <c r="G148" i="15"/>
  <c r="AB147" i="15"/>
  <c r="R146" i="15"/>
  <c r="K146" i="15"/>
  <c r="G146" i="15"/>
  <c r="R145" i="15"/>
  <c r="K145" i="15"/>
  <c r="G145" i="15"/>
  <c r="R144" i="15"/>
  <c r="K144" i="15"/>
  <c r="G144" i="15"/>
  <c r="AB143" i="15"/>
  <c r="R142" i="15"/>
  <c r="K142" i="15"/>
  <c r="G142" i="15"/>
  <c r="R141" i="15"/>
  <c r="K141" i="15"/>
  <c r="G141" i="15"/>
  <c r="R140" i="15"/>
  <c r="K140" i="15"/>
  <c r="G140" i="15"/>
  <c r="O139" i="15"/>
  <c r="R139" i="15" s="1"/>
  <c r="M139" i="15"/>
  <c r="L139" i="15"/>
  <c r="J139" i="15"/>
  <c r="K139" i="15" s="1"/>
  <c r="F139" i="15"/>
  <c r="F138" i="15" s="1"/>
  <c r="E139" i="15"/>
  <c r="E138" i="15" s="1"/>
  <c r="D139" i="15"/>
  <c r="D138" i="15" s="1"/>
  <c r="C139" i="15"/>
  <c r="O138" i="15"/>
  <c r="R138" i="15" s="1"/>
  <c r="M138" i="15"/>
  <c r="L138" i="15"/>
  <c r="AB137" i="15"/>
  <c r="X136" i="15"/>
  <c r="U136" i="15"/>
  <c r="R136" i="15"/>
  <c r="H136" i="15"/>
  <c r="K136" i="15" s="1"/>
  <c r="G136" i="15"/>
  <c r="R135" i="15"/>
  <c r="K135" i="15"/>
  <c r="G135" i="15"/>
  <c r="R134" i="15"/>
  <c r="G134" i="15"/>
  <c r="R133" i="15"/>
  <c r="X132" i="15"/>
  <c r="R132" i="15"/>
  <c r="G132" i="15"/>
  <c r="U130" i="15"/>
  <c r="R130" i="15"/>
  <c r="K130" i="15"/>
  <c r="G130" i="15"/>
  <c r="AA129" i="15"/>
  <c r="AA114" i="15" s="1"/>
  <c r="Z129" i="15"/>
  <c r="Z114" i="15" s="1"/>
  <c r="Y129" i="15"/>
  <c r="Y114" i="15" s="1"/>
  <c r="W129" i="15"/>
  <c r="W114" i="15" s="1"/>
  <c r="W151" i="15" s="1"/>
  <c r="V129" i="15"/>
  <c r="T129" i="15"/>
  <c r="T114" i="15" s="1"/>
  <c r="T151" i="15" s="1"/>
  <c r="S129" i="15"/>
  <c r="S114" i="15" s="1"/>
  <c r="S151" i="15" s="1"/>
  <c r="P129" i="15"/>
  <c r="O129" i="15"/>
  <c r="N129" i="15"/>
  <c r="M129" i="15"/>
  <c r="M114" i="15" s="1"/>
  <c r="J129" i="15"/>
  <c r="E129" i="15"/>
  <c r="C129" i="15"/>
  <c r="R128" i="15"/>
  <c r="K128" i="15"/>
  <c r="G128" i="15"/>
  <c r="R127" i="15"/>
  <c r="K127" i="15"/>
  <c r="G127" i="15"/>
  <c r="R126" i="15"/>
  <c r="K126" i="15"/>
  <c r="G126" i="15"/>
  <c r="R125" i="15"/>
  <c r="K125" i="15"/>
  <c r="G125" i="15"/>
  <c r="R124" i="15"/>
  <c r="L124" i="15"/>
  <c r="I124" i="15"/>
  <c r="H124" i="15"/>
  <c r="F124" i="15"/>
  <c r="E124" i="15"/>
  <c r="D124" i="15"/>
  <c r="C124" i="15"/>
  <c r="R123" i="15"/>
  <c r="K123" i="15"/>
  <c r="G123" i="15"/>
  <c r="R122" i="15"/>
  <c r="K122" i="15"/>
  <c r="G122" i="15"/>
  <c r="R121" i="15"/>
  <c r="K121" i="15"/>
  <c r="G121" i="15"/>
  <c r="R120" i="15"/>
  <c r="I120" i="15"/>
  <c r="K120" i="15" s="1"/>
  <c r="F120" i="15"/>
  <c r="E120" i="15"/>
  <c r="D120" i="15"/>
  <c r="C120" i="15"/>
  <c r="R119" i="15"/>
  <c r="K119" i="15"/>
  <c r="G119" i="15"/>
  <c r="R118" i="15"/>
  <c r="K118" i="15"/>
  <c r="G118" i="15"/>
  <c r="R117" i="15"/>
  <c r="K117" i="15"/>
  <c r="G117" i="15"/>
  <c r="R116" i="15"/>
  <c r="K116" i="15"/>
  <c r="G116" i="15"/>
  <c r="Q115" i="15"/>
  <c r="Q114" i="15" s="1"/>
  <c r="P115" i="15"/>
  <c r="O115" i="15"/>
  <c r="N115" i="15"/>
  <c r="J115" i="15"/>
  <c r="I115" i="15"/>
  <c r="H115" i="15"/>
  <c r="F115" i="15"/>
  <c r="E115" i="15"/>
  <c r="D115" i="15"/>
  <c r="C115" i="15"/>
  <c r="V114" i="15"/>
  <c r="V151" i="15" s="1"/>
  <c r="AB113" i="15"/>
  <c r="R112" i="15"/>
  <c r="K112" i="15"/>
  <c r="G112" i="15"/>
  <c r="R111" i="15"/>
  <c r="K111" i="15"/>
  <c r="G111" i="15"/>
  <c r="R110" i="15"/>
  <c r="K110" i="15"/>
  <c r="G110" i="15"/>
  <c r="Q109" i="15"/>
  <c r="P109" i="15"/>
  <c r="O109" i="15"/>
  <c r="N109" i="15"/>
  <c r="K109" i="15"/>
  <c r="F109" i="15"/>
  <c r="E109" i="15"/>
  <c r="D109" i="15"/>
  <c r="C109" i="15"/>
  <c r="R108" i="15"/>
  <c r="K108" i="15"/>
  <c r="G108" i="15"/>
  <c r="G107" i="15" s="1"/>
  <c r="O107" i="15"/>
  <c r="N107" i="15"/>
  <c r="K107" i="15"/>
  <c r="F107" i="15"/>
  <c r="F106" i="15" s="1"/>
  <c r="E107" i="15"/>
  <c r="D107" i="15"/>
  <c r="C107" i="15"/>
  <c r="C106" i="15" s="1"/>
  <c r="K106" i="15"/>
  <c r="AB105" i="15"/>
  <c r="R104" i="15"/>
  <c r="K104" i="15"/>
  <c r="G104" i="15"/>
  <c r="R103" i="15"/>
  <c r="K103" i="15"/>
  <c r="G103" i="15"/>
  <c r="R102" i="15"/>
  <c r="K102" i="15"/>
  <c r="G102" i="15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F101" i="15"/>
  <c r="E101" i="15"/>
  <c r="D101" i="15"/>
  <c r="C101" i="15"/>
  <c r="R100" i="15"/>
  <c r="K100" i="15"/>
  <c r="G100" i="15"/>
  <c r="R99" i="15"/>
  <c r="K99" i="15"/>
  <c r="G99" i="15"/>
  <c r="R98" i="15"/>
  <c r="K98" i="15"/>
  <c r="G98" i="15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F97" i="15"/>
  <c r="E97" i="15"/>
  <c r="D97" i="15"/>
  <c r="C97" i="15"/>
  <c r="R96" i="15"/>
  <c r="K96" i="15"/>
  <c r="G96" i="15"/>
  <c r="R95" i="15"/>
  <c r="K95" i="15"/>
  <c r="G95" i="15"/>
  <c r="R94" i="15"/>
  <c r="K94" i="15"/>
  <c r="G94" i="15"/>
  <c r="R93" i="15"/>
  <c r="K93" i="15"/>
  <c r="G93" i="15"/>
  <c r="AA92" i="15"/>
  <c r="Z92" i="15"/>
  <c r="Y92" i="15"/>
  <c r="X92" i="15"/>
  <c r="W92" i="15"/>
  <c r="V92" i="15"/>
  <c r="U92" i="15"/>
  <c r="T92" i="15"/>
  <c r="S92" i="15"/>
  <c r="P92" i="15"/>
  <c r="O92" i="15"/>
  <c r="N92" i="15"/>
  <c r="M92" i="15"/>
  <c r="M91" i="15" s="1"/>
  <c r="L92" i="15"/>
  <c r="J92" i="15"/>
  <c r="I92" i="15"/>
  <c r="H92" i="15"/>
  <c r="F92" i="15"/>
  <c r="E92" i="15"/>
  <c r="D92" i="15"/>
  <c r="C92" i="15"/>
  <c r="R90" i="15"/>
  <c r="AB90" i="15" s="1"/>
  <c r="R89" i="15"/>
  <c r="G89" i="15"/>
  <c r="Q88" i="15"/>
  <c r="R88" i="15" s="1"/>
  <c r="F88" i="15"/>
  <c r="E88" i="15"/>
  <c r="D88" i="15"/>
  <c r="C88" i="15"/>
  <c r="R87" i="15"/>
  <c r="K87" i="15"/>
  <c r="G87" i="15"/>
  <c r="R86" i="15"/>
  <c r="G86" i="15"/>
  <c r="R85" i="15"/>
  <c r="G85" i="15"/>
  <c r="R84" i="15"/>
  <c r="G84" i="15"/>
  <c r="R83" i="15"/>
  <c r="K83" i="15"/>
  <c r="G83" i="15"/>
  <c r="R82" i="15"/>
  <c r="K82" i="15"/>
  <c r="G82" i="15"/>
  <c r="R81" i="15"/>
  <c r="K81" i="15"/>
  <c r="G81" i="15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F80" i="15"/>
  <c r="E80" i="15"/>
  <c r="D80" i="15"/>
  <c r="C80" i="15"/>
  <c r="R79" i="15"/>
  <c r="K79" i="15"/>
  <c r="G79" i="15"/>
  <c r="R78" i="15"/>
  <c r="K78" i="15"/>
  <c r="G78" i="15"/>
  <c r="R77" i="15"/>
  <c r="K77" i="15"/>
  <c r="G77" i="15"/>
  <c r="R76" i="15"/>
  <c r="K76" i="15"/>
  <c r="G76" i="15"/>
  <c r="Q75" i="15"/>
  <c r="P75" i="15"/>
  <c r="O75" i="15"/>
  <c r="N75" i="15"/>
  <c r="K75" i="15"/>
  <c r="F75" i="15"/>
  <c r="E75" i="15"/>
  <c r="D75" i="15"/>
  <c r="C75" i="15"/>
  <c r="R74" i="15"/>
  <c r="K74" i="15"/>
  <c r="G74" i="15"/>
  <c r="R73" i="15"/>
  <c r="K73" i="15"/>
  <c r="G73" i="15"/>
  <c r="R72" i="15"/>
  <c r="K72" i="15"/>
  <c r="G72" i="15"/>
  <c r="R71" i="15"/>
  <c r="K71" i="15"/>
  <c r="G71" i="15"/>
  <c r="Q70" i="15"/>
  <c r="R70" i="15" s="1"/>
  <c r="K70" i="15"/>
  <c r="G70" i="15"/>
  <c r="R69" i="15"/>
  <c r="K69" i="15"/>
  <c r="G69" i="15"/>
  <c r="R68" i="15"/>
  <c r="K68" i="15"/>
  <c r="G68" i="15"/>
  <c r="R67" i="15"/>
  <c r="K67" i="15"/>
  <c r="G67" i="15"/>
  <c r="R66" i="15"/>
  <c r="K66" i="15"/>
  <c r="G66" i="15"/>
  <c r="R65" i="15"/>
  <c r="K65" i="15"/>
  <c r="G65" i="15"/>
  <c r="R64" i="15"/>
  <c r="K64" i="15"/>
  <c r="G64" i="15"/>
  <c r="R63" i="15"/>
  <c r="K63" i="15"/>
  <c r="G63" i="15"/>
  <c r="R62" i="15"/>
  <c r="K62" i="15"/>
  <c r="G62" i="15"/>
  <c r="R61" i="15"/>
  <c r="K61" i="15"/>
  <c r="G61" i="15"/>
  <c r="Q60" i="15"/>
  <c r="Q59" i="15" s="1"/>
  <c r="P60" i="15"/>
  <c r="P59" i="15" s="1"/>
  <c r="O60" i="15"/>
  <c r="O59" i="15" s="1"/>
  <c r="N60" i="15"/>
  <c r="N59" i="15" s="1"/>
  <c r="K60" i="15"/>
  <c r="G60" i="15"/>
  <c r="AA59" i="15"/>
  <c r="Z59" i="15"/>
  <c r="Y59" i="15"/>
  <c r="X59" i="15"/>
  <c r="W59" i="15"/>
  <c r="V59" i="15"/>
  <c r="U59" i="15"/>
  <c r="T59" i="15"/>
  <c r="S59" i="15"/>
  <c r="J59" i="15"/>
  <c r="I59" i="15"/>
  <c r="I32" i="15" s="1"/>
  <c r="H59" i="15"/>
  <c r="F59" i="15"/>
  <c r="E59" i="15"/>
  <c r="D59" i="15"/>
  <c r="C59" i="15"/>
  <c r="R58" i="15"/>
  <c r="K58" i="15"/>
  <c r="G58" i="15"/>
  <c r="R57" i="15"/>
  <c r="K57" i="15"/>
  <c r="G57" i="15"/>
  <c r="R56" i="15"/>
  <c r="K56" i="15"/>
  <c r="G56" i="15"/>
  <c r="R55" i="15"/>
  <c r="K55" i="15"/>
  <c r="G55" i="15"/>
  <c r="R54" i="15"/>
  <c r="K54" i="15"/>
  <c r="Q53" i="15"/>
  <c r="P53" i="15"/>
  <c r="O53" i="15"/>
  <c r="N53" i="15"/>
  <c r="K53" i="15"/>
  <c r="F53" i="15"/>
  <c r="E53" i="15"/>
  <c r="D53" i="15"/>
  <c r="C53" i="15"/>
  <c r="K52" i="15"/>
  <c r="G52" i="15"/>
  <c r="R51" i="15"/>
  <c r="K51" i="15"/>
  <c r="G51" i="15"/>
  <c r="P50" i="15"/>
  <c r="O50" i="15"/>
  <c r="N50" i="15"/>
  <c r="K50" i="15"/>
  <c r="G50" i="15"/>
  <c r="P49" i="15"/>
  <c r="O49" i="15"/>
  <c r="K49" i="15"/>
  <c r="G49" i="15"/>
  <c r="P48" i="15"/>
  <c r="O48" i="15"/>
  <c r="K48" i="15"/>
  <c r="G48" i="15"/>
  <c r="R47" i="15"/>
  <c r="K47" i="15"/>
  <c r="G47" i="15"/>
  <c r="K46" i="15"/>
  <c r="G46" i="15"/>
  <c r="R45" i="15"/>
  <c r="K45" i="15"/>
  <c r="G45" i="15"/>
  <c r="R44" i="15"/>
  <c r="K44" i="15"/>
  <c r="G44" i="15"/>
  <c r="Q43" i="15"/>
  <c r="R43" i="15" s="1"/>
  <c r="K43" i="15"/>
  <c r="G43" i="15"/>
  <c r="R42" i="15"/>
  <c r="K42" i="15"/>
  <c r="G42" i="15"/>
  <c r="R41" i="15"/>
  <c r="K41" i="15"/>
  <c r="G41" i="15"/>
  <c r="R40" i="15"/>
  <c r="K40" i="15"/>
  <c r="G40" i="15"/>
  <c r="K39" i="15"/>
  <c r="G39" i="15"/>
  <c r="K38" i="15"/>
  <c r="G38" i="15"/>
  <c r="K37" i="15"/>
  <c r="G37" i="15"/>
  <c r="K36" i="15"/>
  <c r="G36" i="15"/>
  <c r="Q35" i="15"/>
  <c r="R35" i="15" s="1"/>
  <c r="K35" i="15"/>
  <c r="G35" i="15"/>
  <c r="K34" i="15"/>
  <c r="G34" i="15"/>
  <c r="K33" i="15"/>
  <c r="F33" i="15"/>
  <c r="E33" i="15"/>
  <c r="D33" i="15"/>
  <c r="C33" i="15"/>
  <c r="R31" i="15"/>
  <c r="K31" i="15"/>
  <c r="G31" i="15"/>
  <c r="R30" i="15"/>
  <c r="K30" i="15"/>
  <c r="G30" i="15"/>
  <c r="Q29" i="15"/>
  <c r="P29" i="15"/>
  <c r="O29" i="15"/>
  <c r="N29" i="15"/>
  <c r="K29" i="15"/>
  <c r="F29" i="15"/>
  <c r="E29" i="15"/>
  <c r="D29" i="15"/>
  <c r="C29" i="15"/>
  <c r="R28" i="15"/>
  <c r="K28" i="15"/>
  <c r="G28" i="15"/>
  <c r="R27" i="15"/>
  <c r="K27" i="15"/>
  <c r="G27" i="15"/>
  <c r="Q26" i="15"/>
  <c r="P26" i="15"/>
  <c r="O26" i="15"/>
  <c r="N26" i="15"/>
  <c r="K26" i="15"/>
  <c r="C26" i="15"/>
  <c r="G26" i="15" s="1"/>
  <c r="R25" i="15"/>
  <c r="K25" i="15"/>
  <c r="G25" i="15"/>
  <c r="R24" i="15"/>
  <c r="K24" i="15"/>
  <c r="G24" i="15"/>
  <c r="Q23" i="15"/>
  <c r="P23" i="15"/>
  <c r="O23" i="15"/>
  <c r="N23" i="15"/>
  <c r="K23" i="15"/>
  <c r="C23" i="15"/>
  <c r="G23" i="15" s="1"/>
  <c r="R22" i="15"/>
  <c r="K22" i="15"/>
  <c r="G22" i="15"/>
  <c r="Q21" i="15"/>
  <c r="P21" i="15"/>
  <c r="O21" i="15"/>
  <c r="K21" i="15"/>
  <c r="F21" i="15"/>
  <c r="E21" i="15"/>
  <c r="D21" i="15"/>
  <c r="C21" i="15"/>
  <c r="R20" i="15"/>
  <c r="K20" i="15"/>
  <c r="G20" i="15"/>
  <c r="Q19" i="15"/>
  <c r="P19" i="15"/>
  <c r="O19" i="15"/>
  <c r="N19" i="15"/>
  <c r="K19" i="15"/>
  <c r="F19" i="15"/>
  <c r="E19" i="15"/>
  <c r="D19" i="15"/>
  <c r="C19" i="15"/>
  <c r="R18" i="15"/>
  <c r="K18" i="15"/>
  <c r="G18" i="15"/>
  <c r="Q17" i="15"/>
  <c r="P17" i="15"/>
  <c r="O17" i="15"/>
  <c r="N17" i="15"/>
  <c r="K17" i="15"/>
  <c r="F17" i="15"/>
  <c r="G17" i="15" s="1"/>
  <c r="R16" i="15"/>
  <c r="K16" i="15"/>
  <c r="G16" i="15"/>
  <c r="Q15" i="15"/>
  <c r="P15" i="15"/>
  <c r="O15" i="15"/>
  <c r="N15" i="15"/>
  <c r="K15" i="15"/>
  <c r="F15" i="15"/>
  <c r="R14" i="15"/>
  <c r="K14" i="15"/>
  <c r="G14" i="15"/>
  <c r="R13" i="15"/>
  <c r="K13" i="15"/>
  <c r="G13" i="15"/>
  <c r="R12" i="15"/>
  <c r="K12" i="15"/>
  <c r="G12" i="15"/>
  <c r="R11" i="15"/>
  <c r="K11" i="15"/>
  <c r="G11" i="15"/>
  <c r="Q10" i="15"/>
  <c r="P10" i="15"/>
  <c r="O10" i="15"/>
  <c r="N10" i="15"/>
  <c r="I10" i="15"/>
  <c r="H10" i="15"/>
  <c r="F10" i="15"/>
  <c r="E10" i="15"/>
  <c r="D10" i="15"/>
  <c r="C10" i="15"/>
  <c r="K9" i="15"/>
  <c r="G89" i="6"/>
  <c r="G88" i="6"/>
  <c r="I87" i="6"/>
  <c r="H87" i="6"/>
  <c r="F87" i="6"/>
  <c r="E87" i="6"/>
  <c r="D87" i="6"/>
  <c r="C87" i="6"/>
  <c r="G85" i="6"/>
  <c r="G84" i="6" s="1"/>
  <c r="I84" i="6"/>
  <c r="H84" i="6"/>
  <c r="F84" i="6"/>
  <c r="E84" i="6"/>
  <c r="D84" i="6"/>
  <c r="C84" i="6"/>
  <c r="G81" i="6"/>
  <c r="G80" i="6"/>
  <c r="G79" i="6"/>
  <c r="I78" i="6"/>
  <c r="H78" i="6"/>
  <c r="F78" i="6"/>
  <c r="E78" i="6"/>
  <c r="D78" i="6"/>
  <c r="C78" i="6"/>
  <c r="G76" i="6"/>
  <c r="G75" i="6"/>
  <c r="I74" i="6"/>
  <c r="H74" i="6"/>
  <c r="F74" i="6"/>
  <c r="E74" i="6"/>
  <c r="D74" i="6"/>
  <c r="C74" i="6"/>
  <c r="G72" i="6"/>
  <c r="H72" i="6" s="1"/>
  <c r="G71" i="6"/>
  <c r="H71" i="6" s="1"/>
  <c r="G70" i="6"/>
  <c r="H70" i="6" s="1"/>
  <c r="I69" i="6"/>
  <c r="F69" i="6"/>
  <c r="E69" i="6"/>
  <c r="D69" i="6"/>
  <c r="C69" i="6"/>
  <c r="G67" i="6"/>
  <c r="G66" i="6"/>
  <c r="I65" i="6"/>
  <c r="H65" i="6"/>
  <c r="F65" i="6"/>
  <c r="E65" i="6"/>
  <c r="D65" i="6"/>
  <c r="C65" i="6"/>
  <c r="G64" i="6"/>
  <c r="G63" i="6"/>
  <c r="G62" i="6"/>
  <c r="G61" i="6"/>
  <c r="G60" i="6"/>
  <c r="G59" i="6"/>
  <c r="G58" i="6"/>
  <c r="I57" i="6"/>
  <c r="H57" i="6"/>
  <c r="E57" i="6"/>
  <c r="D57" i="6"/>
  <c r="C57" i="6"/>
  <c r="G56" i="6"/>
  <c r="G55" i="6"/>
  <c r="G54" i="6"/>
  <c r="G53" i="6"/>
  <c r="I52" i="6"/>
  <c r="H52" i="6"/>
  <c r="F52" i="6"/>
  <c r="E52" i="6"/>
  <c r="D52" i="6"/>
  <c r="C52" i="6"/>
  <c r="G51" i="6"/>
  <c r="G50" i="6"/>
  <c r="G49" i="6"/>
  <c r="G48" i="6"/>
  <c r="F47" i="6"/>
  <c r="G47" i="6" s="1"/>
  <c r="G46" i="6"/>
  <c r="G45" i="6"/>
  <c r="G44" i="6"/>
  <c r="G43" i="6"/>
  <c r="G42" i="6"/>
  <c r="G41" i="6"/>
  <c r="G40" i="6"/>
  <c r="G39" i="6"/>
  <c r="G38" i="6"/>
  <c r="F37" i="6"/>
  <c r="F36" i="6" s="1"/>
  <c r="E37" i="6"/>
  <c r="E36" i="6" s="1"/>
  <c r="D37" i="6"/>
  <c r="D36" i="6" s="1"/>
  <c r="C37" i="6"/>
  <c r="C36" i="6" s="1"/>
  <c r="I36" i="6"/>
  <c r="H36" i="6"/>
  <c r="G35" i="6"/>
  <c r="G34" i="6"/>
  <c r="G33" i="6"/>
  <c r="G32" i="6"/>
  <c r="G31" i="6"/>
  <c r="I30" i="6"/>
  <c r="H30" i="6"/>
  <c r="F30" i="6"/>
  <c r="E30" i="6"/>
  <c r="D30" i="6"/>
  <c r="C30" i="6"/>
  <c r="F29" i="6"/>
  <c r="E29" i="6"/>
  <c r="D29" i="6"/>
  <c r="C29" i="6"/>
  <c r="G28" i="6"/>
  <c r="I28" i="6" s="1"/>
  <c r="F27" i="6"/>
  <c r="E27" i="6"/>
  <c r="D27" i="6"/>
  <c r="C27" i="6"/>
  <c r="F26" i="6"/>
  <c r="E26" i="6"/>
  <c r="D26" i="6"/>
  <c r="C26" i="6"/>
  <c r="F25" i="6"/>
  <c r="E25" i="6"/>
  <c r="D25" i="6"/>
  <c r="C25" i="6"/>
  <c r="G24" i="6"/>
  <c r="I24" i="6" s="1"/>
  <c r="F23" i="6"/>
  <c r="E23" i="6"/>
  <c r="D23" i="6"/>
  <c r="C23" i="6"/>
  <c r="F22" i="6"/>
  <c r="E22" i="6"/>
  <c r="D22" i="6"/>
  <c r="C22" i="6"/>
  <c r="G21" i="6"/>
  <c r="I21" i="6" s="1"/>
  <c r="F20" i="6"/>
  <c r="G20" i="6" s="1"/>
  <c r="I20" i="6" s="1"/>
  <c r="G19" i="6"/>
  <c r="I19" i="6" s="1"/>
  <c r="G18" i="6"/>
  <c r="I18" i="6" s="1"/>
  <c r="G17" i="6"/>
  <c r="I17" i="6" s="1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G12" i="6" s="1"/>
  <c r="I12" i="6" s="1"/>
  <c r="F11" i="6"/>
  <c r="E11" i="6"/>
  <c r="D11" i="6"/>
  <c r="C11" i="6"/>
  <c r="H10" i="6"/>
  <c r="I36" i="16"/>
  <c r="I35" i="16"/>
  <c r="I34" i="16"/>
  <c r="I33" i="16"/>
  <c r="E32" i="16"/>
  <c r="D32" i="16"/>
  <c r="H133" i="15" s="1"/>
  <c r="K133" i="15" s="1"/>
  <c r="AB133" i="15" s="1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H17" i="16"/>
  <c r="H14" i="16" s="1"/>
  <c r="G17" i="16"/>
  <c r="F17" i="16"/>
  <c r="F14" i="16" s="1"/>
  <c r="E17" i="16"/>
  <c r="D17" i="16"/>
  <c r="I12" i="16"/>
  <c r="I11" i="16"/>
  <c r="H10" i="16"/>
  <c r="G10" i="16"/>
  <c r="F10" i="16"/>
  <c r="E10" i="16"/>
  <c r="D10" i="16"/>
  <c r="I79" i="8"/>
  <c r="I78" i="8"/>
  <c r="I77" i="8"/>
  <c r="I76" i="8"/>
  <c r="I75" i="8"/>
  <c r="I74" i="8"/>
  <c r="I73" i="8"/>
  <c r="I72" i="8"/>
  <c r="H71" i="8"/>
  <c r="I70" i="8"/>
  <c r="G69" i="8"/>
  <c r="F69" i="8"/>
  <c r="D69" i="8"/>
  <c r="I68" i="8"/>
  <c r="I67" i="8"/>
  <c r="I66" i="8"/>
  <c r="I65" i="8"/>
  <c r="I64" i="8"/>
  <c r="I63" i="8"/>
  <c r="I62" i="8"/>
  <c r="I61" i="8"/>
  <c r="I60" i="8"/>
  <c r="G59" i="8"/>
  <c r="L135" i="15" s="1"/>
  <c r="F59" i="8"/>
  <c r="D59" i="8"/>
  <c r="I58" i="8"/>
  <c r="I57" i="8"/>
  <c r="H56" i="8"/>
  <c r="G56" i="8"/>
  <c r="F56" i="8"/>
  <c r="E56" i="8"/>
  <c r="D56" i="8"/>
  <c r="I134" i="15" s="1"/>
  <c r="K134" i="15" s="1"/>
  <c r="I55" i="8"/>
  <c r="I53" i="8"/>
  <c r="H52" i="8"/>
  <c r="G52" i="8"/>
  <c r="F52" i="8"/>
  <c r="D52" i="8"/>
  <c r="I51" i="8"/>
  <c r="I50" i="8"/>
  <c r="I49" i="8"/>
  <c r="I48" i="8"/>
  <c r="H47" i="8"/>
  <c r="G47" i="8"/>
  <c r="F47" i="8"/>
  <c r="E47" i="8"/>
  <c r="D47" i="8"/>
  <c r="I132" i="15" s="1"/>
  <c r="I46" i="8"/>
  <c r="I45" i="8"/>
  <c r="H44" i="8"/>
  <c r="G44" i="8"/>
  <c r="F44" i="8"/>
  <c r="E44" i="8"/>
  <c r="D44" i="8"/>
  <c r="I131" i="15" s="1"/>
  <c r="K131" i="15" s="1"/>
  <c r="AB131" i="15" s="1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3" i="8"/>
  <c r="I12" i="8"/>
  <c r="I11" i="8"/>
  <c r="H10" i="8"/>
  <c r="G10" i="8"/>
  <c r="F10" i="8"/>
  <c r="E10" i="8"/>
  <c r="D10" i="8"/>
  <c r="G136" i="14"/>
  <c r="F136" i="14"/>
  <c r="E136" i="14"/>
  <c r="H135" i="14"/>
  <c r="D134" i="14"/>
  <c r="C134" i="14"/>
  <c r="C133" i="14" s="1"/>
  <c r="D133" i="14"/>
  <c r="H131" i="14"/>
  <c r="D130" i="14"/>
  <c r="D129" i="14" s="1"/>
  <c r="C130" i="14"/>
  <c r="H126" i="14"/>
  <c r="H125" i="14"/>
  <c r="H124" i="14"/>
  <c r="H123" i="14"/>
  <c r="H122" i="14"/>
  <c r="H121" i="14"/>
  <c r="H120" i="14"/>
  <c r="H119" i="14"/>
  <c r="D118" i="14"/>
  <c r="D117" i="14" s="1"/>
  <c r="I37" i="19" s="1"/>
  <c r="C118" i="14"/>
  <c r="C117" i="14" s="1"/>
  <c r="H115" i="14"/>
  <c r="H114" i="14"/>
  <c r="H113" i="14"/>
  <c r="D112" i="14"/>
  <c r="C112" i="14"/>
  <c r="H111" i="14"/>
  <c r="H110" i="14"/>
  <c r="D109" i="14"/>
  <c r="D108" i="14" s="1"/>
  <c r="E35" i="19" s="1"/>
  <c r="C109" i="14"/>
  <c r="H106" i="14"/>
  <c r="D105" i="14"/>
  <c r="C105" i="14"/>
  <c r="D104" i="14"/>
  <c r="C104" i="14"/>
  <c r="H102" i="14"/>
  <c r="C101" i="14"/>
  <c r="C100" i="14"/>
  <c r="H100" i="14" s="1"/>
  <c r="D99" i="14"/>
  <c r="H98" i="14"/>
  <c r="D97" i="14"/>
  <c r="H97" i="14" s="1"/>
  <c r="H96" i="14"/>
  <c r="D95" i="14"/>
  <c r="C94" i="14"/>
  <c r="D90" i="14"/>
  <c r="C90" i="14"/>
  <c r="H89" i="14"/>
  <c r="H88" i="14"/>
  <c r="H87" i="14"/>
  <c r="H86" i="14"/>
  <c r="H85" i="14"/>
  <c r="H84" i="14"/>
  <c r="D83" i="14"/>
  <c r="C83" i="14"/>
  <c r="C82" i="14" s="1"/>
  <c r="D82" i="14"/>
  <c r="D81" i="14"/>
  <c r="H81" i="14" s="1"/>
  <c r="H80" i="14"/>
  <c r="D79" i="14"/>
  <c r="H79" i="14" s="1"/>
  <c r="D78" i="14"/>
  <c r="C77" i="14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3" i="14"/>
  <c r="C62" i="14"/>
  <c r="H62" i="14" s="1"/>
  <c r="D61" i="14"/>
  <c r="H60" i="14"/>
  <c r="H59" i="14"/>
  <c r="H58" i="14"/>
  <c r="H57" i="14"/>
  <c r="H56" i="14"/>
  <c r="D55" i="14"/>
  <c r="C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7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D34" i="14"/>
  <c r="H34" i="14" s="1"/>
  <c r="C31" i="14"/>
  <c r="H31" i="14" s="1"/>
  <c r="D30" i="14"/>
  <c r="H29" i="14"/>
  <c r="D28" i="14"/>
  <c r="C28" i="14"/>
  <c r="C27" i="14"/>
  <c r="H27" i="14" s="1"/>
  <c r="C26" i="14"/>
  <c r="H26" i="14" s="1"/>
  <c r="D25" i="14"/>
  <c r="H24" i="14"/>
  <c r="D23" i="14"/>
  <c r="C23" i="14"/>
  <c r="H22" i="14"/>
  <c r="D21" i="14"/>
  <c r="C21" i="14"/>
  <c r="C20" i="14"/>
  <c r="H20" i="14" s="1"/>
  <c r="D19" i="14"/>
  <c r="H18" i="14"/>
  <c r="D17" i="14"/>
  <c r="C17" i="14"/>
  <c r="H16" i="14"/>
  <c r="H15" i="14"/>
  <c r="H14" i="14"/>
  <c r="H13" i="14"/>
  <c r="D12" i="14"/>
  <c r="C12" i="14"/>
  <c r="H20" i="21"/>
  <c r="H19" i="21"/>
  <c r="G18" i="21"/>
  <c r="G17" i="21" s="1"/>
  <c r="F18" i="21"/>
  <c r="F17" i="21" s="1"/>
  <c r="E18" i="21"/>
  <c r="E17" i="21" s="1"/>
  <c r="D18" i="21"/>
  <c r="D17" i="21" s="1"/>
  <c r="C18" i="21"/>
  <c r="C17" i="21" s="1"/>
  <c r="H15" i="21"/>
  <c r="H14" i="21"/>
  <c r="H13" i="21"/>
  <c r="G12" i="21"/>
  <c r="G11" i="21" s="1"/>
  <c r="F12" i="21"/>
  <c r="E12" i="21"/>
  <c r="E11" i="21" s="1"/>
  <c r="D12" i="21"/>
  <c r="D11" i="21" s="1"/>
  <c r="C12" i="21"/>
  <c r="C11" i="21" s="1"/>
  <c r="F11" i="21"/>
  <c r="D120" i="3"/>
  <c r="E117" i="3"/>
  <c r="F116" i="3" s="1"/>
  <c r="E108" i="3"/>
  <c r="E106" i="3"/>
  <c r="E104" i="3"/>
  <c r="E99" i="3"/>
  <c r="E93" i="3"/>
  <c r="E91" i="3"/>
  <c r="E87" i="3"/>
  <c r="E83" i="3"/>
  <c r="E79" i="3"/>
  <c r="E75" i="3"/>
  <c r="E71" i="3"/>
  <c r="E69" i="3"/>
  <c r="E56" i="3"/>
  <c r="E51" i="3"/>
  <c r="E32" i="3"/>
  <c r="E28" i="3"/>
  <c r="E26" i="3"/>
  <c r="E23" i="3"/>
  <c r="E21" i="3"/>
  <c r="E19" i="3"/>
  <c r="E17" i="3"/>
  <c r="E15" i="3"/>
  <c r="E10" i="3"/>
  <c r="E192" i="9"/>
  <c r="E191" i="9"/>
  <c r="E190" i="9"/>
  <c r="C189" i="9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2" i="9" s="1"/>
  <c r="E171" i="9"/>
  <c r="C170" i="9"/>
  <c r="E167" i="9"/>
  <c r="C166" i="9"/>
  <c r="E166" i="9" s="1"/>
  <c r="C165" i="9"/>
  <c r="D164" i="9"/>
  <c r="E164" i="9" s="1"/>
  <c r="D163" i="9"/>
  <c r="E163" i="9" s="1"/>
  <c r="D162" i="9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C112" i="9"/>
  <c r="E86" i="9"/>
  <c r="E85" i="9"/>
  <c r="E84" i="9"/>
  <c r="E83" i="9"/>
  <c r="E82" i="9"/>
  <c r="C81" i="9"/>
  <c r="E81" i="9" s="1"/>
  <c r="E79" i="9"/>
  <c r="E78" i="9"/>
  <c r="E77" i="9"/>
  <c r="E76" i="9"/>
  <c r="E75" i="9"/>
  <c r="E74" i="9"/>
  <c r="E73" i="9"/>
  <c r="E72" i="9"/>
  <c r="E71" i="9"/>
  <c r="E66" i="9"/>
  <c r="C66" i="9"/>
  <c r="C65" i="9" s="1"/>
  <c r="C35" i="9"/>
  <c r="E34" i="9"/>
  <c r="E33" i="9"/>
  <c r="E32" i="9"/>
  <c r="E31" i="9"/>
  <c r="E30" i="9"/>
  <c r="D29" i="9"/>
  <c r="C29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1" i="9" s="1"/>
  <c r="E10" i="9"/>
  <c r="D47" i="11"/>
  <c r="L42" i="11"/>
  <c r="G48" i="11" s="1"/>
  <c r="K42" i="11"/>
  <c r="G47" i="11" s="1"/>
  <c r="J42" i="11"/>
  <c r="G46" i="11" s="1"/>
  <c r="I42" i="11"/>
  <c r="G45" i="11" s="1"/>
  <c r="F42" i="11"/>
  <c r="E42" i="11"/>
  <c r="D42" i="11"/>
  <c r="H85" i="13"/>
  <c r="H84" i="13"/>
  <c r="H83" i="13" s="1"/>
  <c r="G83" i="13"/>
  <c r="G82" i="13" s="1"/>
  <c r="H24" i="19" s="1"/>
  <c r="F83" i="13"/>
  <c r="F82" i="13" s="1"/>
  <c r="E86" i="13"/>
  <c r="D83" i="13"/>
  <c r="D82" i="13" s="1"/>
  <c r="C82" i="13"/>
  <c r="D24" i="19" s="1"/>
  <c r="H80" i="13"/>
  <c r="H79" i="13" s="1"/>
  <c r="H78" i="13" s="1"/>
  <c r="F79" i="13"/>
  <c r="F78" i="13" s="1"/>
  <c r="C79" i="13"/>
  <c r="C78" i="13" s="1"/>
  <c r="H76" i="13"/>
  <c r="H75" i="13"/>
  <c r="C74" i="13"/>
  <c r="H73" i="13"/>
  <c r="H72" i="13"/>
  <c r="C71" i="13"/>
  <c r="D69" i="13"/>
  <c r="H68" i="13"/>
  <c r="H67" i="13" s="1"/>
  <c r="H66" i="13" s="1"/>
  <c r="C67" i="13"/>
  <c r="C66" i="13" s="1"/>
  <c r="H64" i="13"/>
  <c r="H63" i="13"/>
  <c r="H61" i="13"/>
  <c r="H60" i="13" s="1"/>
  <c r="D60" i="13"/>
  <c r="H59" i="13"/>
  <c r="H58" i="13"/>
  <c r="H57" i="13"/>
  <c r="D56" i="13"/>
  <c r="H53" i="13"/>
  <c r="H52" i="13"/>
  <c r="D51" i="13"/>
  <c r="D50" i="13" s="1"/>
  <c r="E14" i="19" s="1"/>
  <c r="I14" i="19" s="1"/>
  <c r="H48" i="13"/>
  <c r="H47" i="13"/>
  <c r="H46" i="13"/>
  <c r="D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D31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D11" i="13"/>
  <c r="D10" i="13" s="1"/>
  <c r="E10" i="19" s="1"/>
  <c r="I10" i="19" s="1"/>
  <c r="D86" i="2"/>
  <c r="E84" i="2"/>
  <c r="E82" i="2"/>
  <c r="E78" i="2"/>
  <c r="F77" i="2" s="1"/>
  <c r="D17" i="4" s="1"/>
  <c r="E74" i="2"/>
  <c r="E70" i="2"/>
  <c r="F69" i="2" s="1"/>
  <c r="D16" i="4" s="1"/>
  <c r="E66" i="2"/>
  <c r="F65" i="2" s="1"/>
  <c r="D15" i="4" s="1"/>
  <c r="E61" i="2"/>
  <c r="E59" i="2"/>
  <c r="E55" i="2"/>
  <c r="E50" i="2"/>
  <c r="F49" i="2" s="1"/>
  <c r="D13" i="4" s="1"/>
  <c r="E44" i="2"/>
  <c r="F29" i="2" s="1"/>
  <c r="D114" i="15" l="1"/>
  <c r="D94" i="14"/>
  <c r="H94" i="14" s="1"/>
  <c r="D31" i="4"/>
  <c r="G53" i="15"/>
  <c r="D155" i="9"/>
  <c r="D103" i="14"/>
  <c r="D93" i="14" s="1"/>
  <c r="I33" i="19" s="1"/>
  <c r="D106" i="15"/>
  <c r="J114" i="15"/>
  <c r="AB89" i="15"/>
  <c r="C32" i="15"/>
  <c r="E32" i="15"/>
  <c r="AB47" i="15"/>
  <c r="C91" i="15"/>
  <c r="M151" i="15"/>
  <c r="G109" i="15"/>
  <c r="X151" i="15"/>
  <c r="X129" i="15"/>
  <c r="X114" i="15" s="1"/>
  <c r="C30" i="14"/>
  <c r="J91" i="15"/>
  <c r="G97" i="15"/>
  <c r="G101" i="15"/>
  <c r="AB104" i="15"/>
  <c r="O106" i="15"/>
  <c r="R109" i="15"/>
  <c r="F114" i="15"/>
  <c r="P114" i="15"/>
  <c r="AB116" i="15"/>
  <c r="AB118" i="15"/>
  <c r="G120" i="15"/>
  <c r="AB120" i="15" s="1"/>
  <c r="AB126" i="15"/>
  <c r="AB128" i="15"/>
  <c r="AB140" i="15"/>
  <c r="AB142" i="15"/>
  <c r="AB148" i="15"/>
  <c r="E133" i="9"/>
  <c r="G30" i="6"/>
  <c r="G57" i="6"/>
  <c r="C83" i="6"/>
  <c r="E83" i="6"/>
  <c r="H83" i="6"/>
  <c r="D83" i="6"/>
  <c r="K32" i="15"/>
  <c r="E139" i="9"/>
  <c r="F78" i="3"/>
  <c r="D28" i="4" s="1"/>
  <c r="H112" i="14"/>
  <c r="I68" i="6"/>
  <c r="G74" i="6"/>
  <c r="AB55" i="15"/>
  <c r="AB57" i="15"/>
  <c r="G59" i="15"/>
  <c r="C184" i="9"/>
  <c r="C19" i="14"/>
  <c r="H19" i="14" s="1"/>
  <c r="C70" i="13"/>
  <c r="D20" i="19" s="1"/>
  <c r="I20" i="19" s="1"/>
  <c r="H74" i="13"/>
  <c r="E29" i="9"/>
  <c r="E112" i="9"/>
  <c r="E156" i="9"/>
  <c r="C160" i="9"/>
  <c r="E165" i="9"/>
  <c r="E174" i="9"/>
  <c r="E170" i="9" s="1"/>
  <c r="E175" i="9"/>
  <c r="E180" i="9"/>
  <c r="E181" i="9"/>
  <c r="F90" i="3"/>
  <c r="D29" i="4" s="1"/>
  <c r="F98" i="3"/>
  <c r="D30" i="4" s="1"/>
  <c r="G25" i="21"/>
  <c r="H12" i="14"/>
  <c r="H17" i="14"/>
  <c r="H21" i="14"/>
  <c r="H30" i="14"/>
  <c r="D77" i="14"/>
  <c r="H77" i="14" s="1"/>
  <c r="H82" i="14"/>
  <c r="H83" i="14"/>
  <c r="H90" i="14"/>
  <c r="H104" i="14"/>
  <c r="H105" i="14"/>
  <c r="G80" i="8"/>
  <c r="F10" i="6"/>
  <c r="F9" i="6" s="1"/>
  <c r="G13" i="6"/>
  <c r="I13" i="6" s="1"/>
  <c r="G14" i="6"/>
  <c r="I14" i="6" s="1"/>
  <c r="G15" i="6"/>
  <c r="I15" i="6" s="1"/>
  <c r="G16" i="6"/>
  <c r="I16" i="6" s="1"/>
  <c r="G25" i="6"/>
  <c r="I25" i="6" s="1"/>
  <c r="G26" i="6"/>
  <c r="I26" i="6" s="1"/>
  <c r="G27" i="6"/>
  <c r="I27" i="6" s="1"/>
  <c r="C68" i="6"/>
  <c r="E68" i="6"/>
  <c r="I83" i="6"/>
  <c r="G87" i="6"/>
  <c r="G83" i="6" s="1"/>
  <c r="D9" i="15"/>
  <c r="AB14" i="15"/>
  <c r="R17" i="15"/>
  <c r="R23" i="15"/>
  <c r="AB23" i="15" s="1"/>
  <c r="AB24" i="15"/>
  <c r="R26" i="15"/>
  <c r="AB26" i="15" s="1"/>
  <c r="AB27" i="15"/>
  <c r="AB35" i="15"/>
  <c r="AB41" i="15"/>
  <c r="AB43" i="15"/>
  <c r="Y151" i="15"/>
  <c r="AB62" i="15"/>
  <c r="AB64" i="15"/>
  <c r="AB66" i="15"/>
  <c r="AB68" i="15"/>
  <c r="AB82" i="15"/>
  <c r="AB84" i="15"/>
  <c r="AB85" i="15"/>
  <c r="D91" i="15"/>
  <c r="E162" i="9"/>
  <c r="D160" i="9"/>
  <c r="H130" i="14"/>
  <c r="C129" i="14"/>
  <c r="H129" i="14" s="1"/>
  <c r="I71" i="8"/>
  <c r="I69" i="8" s="1"/>
  <c r="H69" i="8"/>
  <c r="H59" i="8" s="1"/>
  <c r="H15" i="8" s="1"/>
  <c r="G139" i="15"/>
  <c r="G138" i="15" s="1"/>
  <c r="C138" i="15"/>
  <c r="F25" i="21"/>
  <c r="H109" i="14"/>
  <c r="C108" i="14"/>
  <c r="D35" i="19" s="1"/>
  <c r="I35" i="19" s="1"/>
  <c r="F83" i="6"/>
  <c r="R34" i="15"/>
  <c r="AB34" i="15" s="1"/>
  <c r="N33" i="15"/>
  <c r="N32" i="15" s="1"/>
  <c r="N106" i="15"/>
  <c r="R106" i="15" s="1"/>
  <c r="E157" i="9"/>
  <c r="E25" i="21"/>
  <c r="D11" i="14"/>
  <c r="H23" i="14"/>
  <c r="H28" i="14"/>
  <c r="H117" i="14"/>
  <c r="H118" i="14"/>
  <c r="H133" i="14"/>
  <c r="H134" i="14"/>
  <c r="F80" i="8"/>
  <c r="H80" i="8"/>
  <c r="I10" i="16"/>
  <c r="C10" i="6"/>
  <c r="C9" i="6" s="1"/>
  <c r="G22" i="6"/>
  <c r="I22" i="6" s="1"/>
  <c r="G23" i="6"/>
  <c r="I23" i="6" s="1"/>
  <c r="G29" i="6"/>
  <c r="I29" i="6" s="1"/>
  <c r="G37" i="6"/>
  <c r="G36" i="6" s="1"/>
  <c r="G52" i="6"/>
  <c r="G65" i="6"/>
  <c r="D68" i="6"/>
  <c r="F68" i="6"/>
  <c r="G78" i="6"/>
  <c r="K10" i="15"/>
  <c r="N9" i="15"/>
  <c r="P9" i="15"/>
  <c r="R15" i="15"/>
  <c r="G19" i="15"/>
  <c r="G21" i="15"/>
  <c r="AB25" i="15"/>
  <c r="R29" i="15"/>
  <c r="AB30" i="15"/>
  <c r="Q33" i="15"/>
  <c r="Q32" i="15" s="1"/>
  <c r="AB42" i="15"/>
  <c r="AB44" i="15"/>
  <c r="R48" i="15"/>
  <c r="AB48" i="15" s="1"/>
  <c r="R50" i="15"/>
  <c r="AB50" i="15" s="1"/>
  <c r="AB51" i="15"/>
  <c r="R60" i="15"/>
  <c r="AB60" i="15" s="1"/>
  <c r="AB61" i="15"/>
  <c r="AB63" i="15"/>
  <c r="AB65" i="15"/>
  <c r="AB67" i="15"/>
  <c r="AB69" i="15"/>
  <c r="G75" i="15"/>
  <c r="AB81" i="15"/>
  <c r="AB83" i="15"/>
  <c r="F91" i="15"/>
  <c r="R92" i="15"/>
  <c r="K97" i="15"/>
  <c r="AB103" i="15"/>
  <c r="R107" i="15"/>
  <c r="AB107" i="15" s="1"/>
  <c r="C114" i="15"/>
  <c r="E114" i="15"/>
  <c r="O114" i="15"/>
  <c r="AB117" i="15"/>
  <c r="AB119" i="15"/>
  <c r="AB125" i="15"/>
  <c r="AB127" i="15"/>
  <c r="G129" i="15"/>
  <c r="R129" i="15"/>
  <c r="U129" i="15"/>
  <c r="U114" i="15" s="1"/>
  <c r="U151" i="15" s="1"/>
  <c r="H20" i="18" s="1"/>
  <c r="H24" i="18" s="1"/>
  <c r="D18" i="19"/>
  <c r="I18" i="19" s="1"/>
  <c r="C86" i="13"/>
  <c r="E161" i="9"/>
  <c r="E185" i="9"/>
  <c r="E189" i="9"/>
  <c r="E184" i="9" s="1"/>
  <c r="D25" i="21"/>
  <c r="C61" i="14"/>
  <c r="H61" i="14" s="1"/>
  <c r="C99" i="14"/>
  <c r="H101" i="14"/>
  <c r="I16" i="8"/>
  <c r="F37" i="16"/>
  <c r="G14" i="16"/>
  <c r="G37" i="16" s="1"/>
  <c r="D10" i="6"/>
  <c r="D9" i="6" s="1"/>
  <c r="E10" i="6"/>
  <c r="E9" i="6" s="1"/>
  <c r="H9" i="6"/>
  <c r="AB16" i="15"/>
  <c r="AB28" i="15"/>
  <c r="P33" i="15"/>
  <c r="P32" i="15" s="1"/>
  <c r="AB45" i="15"/>
  <c r="AB56" i="15"/>
  <c r="F32" i="15"/>
  <c r="K59" i="15"/>
  <c r="AB70" i="15"/>
  <c r="AB71" i="15"/>
  <c r="AB72" i="15"/>
  <c r="AB73" i="15"/>
  <c r="AB74" i="15"/>
  <c r="AB76" i="15"/>
  <c r="AB77" i="15"/>
  <c r="AB78" i="15"/>
  <c r="AB79" i="15"/>
  <c r="K80" i="15"/>
  <c r="R80" i="15"/>
  <c r="AB86" i="15"/>
  <c r="AB87" i="15"/>
  <c r="Z151" i="15"/>
  <c r="AB93" i="15"/>
  <c r="AB94" i="15"/>
  <c r="AB95" i="15"/>
  <c r="AB96" i="15"/>
  <c r="O91" i="15"/>
  <c r="P91" i="15"/>
  <c r="AB98" i="15"/>
  <c r="AB99" i="15"/>
  <c r="K101" i="15"/>
  <c r="R101" i="15"/>
  <c r="AB102" i="15"/>
  <c r="AB108" i="15"/>
  <c r="E106" i="15"/>
  <c r="AB110" i="15"/>
  <c r="AB111" i="15"/>
  <c r="AB112" i="15"/>
  <c r="K115" i="15"/>
  <c r="AB121" i="15"/>
  <c r="AB122" i="15"/>
  <c r="AB123" i="15"/>
  <c r="K124" i="15"/>
  <c r="AB141" i="15"/>
  <c r="AB144" i="15"/>
  <c r="AB145" i="15"/>
  <c r="AB146" i="15"/>
  <c r="AB149" i="15"/>
  <c r="AB150" i="15"/>
  <c r="E9" i="15"/>
  <c r="H71" i="13"/>
  <c r="H51" i="13"/>
  <c r="H50" i="13" s="1"/>
  <c r="F54" i="2"/>
  <c r="D14" i="4" s="1"/>
  <c r="AB100" i="15"/>
  <c r="AB54" i="15"/>
  <c r="J138" i="15"/>
  <c r="K138" i="15" s="1"/>
  <c r="E14" i="16"/>
  <c r="E37" i="16" s="1"/>
  <c r="H37" i="16"/>
  <c r="E69" i="8"/>
  <c r="E80" i="8" s="1"/>
  <c r="I56" i="8"/>
  <c r="E15" i="8"/>
  <c r="G15" i="8"/>
  <c r="AB135" i="15"/>
  <c r="F15" i="8"/>
  <c r="I59" i="8"/>
  <c r="I52" i="8"/>
  <c r="I47" i="8"/>
  <c r="I44" i="8"/>
  <c r="D15" i="8"/>
  <c r="I129" i="15"/>
  <c r="I114" i="15" s="1"/>
  <c r="I10" i="8"/>
  <c r="G20" i="18"/>
  <c r="F31" i="3"/>
  <c r="D27" i="4" s="1"/>
  <c r="E120" i="3"/>
  <c r="F9" i="3"/>
  <c r="D26" i="4" s="1"/>
  <c r="AB58" i="15"/>
  <c r="D32" i="15"/>
  <c r="F24" i="19"/>
  <c r="F25" i="19" s="1"/>
  <c r="H55" i="14"/>
  <c r="C8" i="9"/>
  <c r="C80" i="9"/>
  <c r="E80" i="9" s="1"/>
  <c r="G10" i="15"/>
  <c r="C9" i="15"/>
  <c r="R21" i="15"/>
  <c r="R19" i="15"/>
  <c r="AB20" i="15"/>
  <c r="AB13" i="15"/>
  <c r="AB12" i="15"/>
  <c r="Q9" i="15"/>
  <c r="AB11" i="15"/>
  <c r="C25" i="21"/>
  <c r="G24" i="19"/>
  <c r="G25" i="19" s="1"/>
  <c r="F86" i="13"/>
  <c r="D16" i="20" s="1"/>
  <c r="E24" i="19"/>
  <c r="D11" i="4"/>
  <c r="D55" i="13"/>
  <c r="H99" i="14"/>
  <c r="H69" i="6"/>
  <c r="H68" i="6" s="1"/>
  <c r="F81" i="2"/>
  <c r="D18" i="4" s="1"/>
  <c r="D170" i="9"/>
  <c r="D169" i="9" s="1"/>
  <c r="D165" i="9" s="1"/>
  <c r="C179" i="9"/>
  <c r="E179" i="9" s="1"/>
  <c r="G11" i="6"/>
  <c r="R10" i="15"/>
  <c r="R75" i="15"/>
  <c r="H18" i="21"/>
  <c r="H17" i="21" s="1"/>
  <c r="H64" i="14"/>
  <c r="H78" i="14"/>
  <c r="H95" i="14"/>
  <c r="I32" i="16"/>
  <c r="O9" i="15"/>
  <c r="G33" i="15"/>
  <c r="R36" i="15"/>
  <c r="AB36" i="15" s="1"/>
  <c r="R38" i="15"/>
  <c r="AB38" i="15" s="1"/>
  <c r="R46" i="15"/>
  <c r="AB46" i="15" s="1"/>
  <c r="R52" i="15"/>
  <c r="AB52" i="15" s="1"/>
  <c r="G80" i="15"/>
  <c r="H91" i="15"/>
  <c r="I91" i="15"/>
  <c r="K92" i="15"/>
  <c r="N91" i="15"/>
  <c r="R97" i="15"/>
  <c r="AB97" i="15" s="1"/>
  <c r="N114" i="15"/>
  <c r="R115" i="15"/>
  <c r="G124" i="15"/>
  <c r="AB124" i="15" s="1"/>
  <c r="AB134" i="15"/>
  <c r="D9" i="9"/>
  <c r="C155" i="9"/>
  <c r="H12" i="21"/>
  <c r="H11" i="21" s="1"/>
  <c r="C103" i="14"/>
  <c r="L129" i="15"/>
  <c r="L114" i="15" s="1"/>
  <c r="D80" i="8"/>
  <c r="G15" i="15"/>
  <c r="F9" i="15"/>
  <c r="AB18" i="15"/>
  <c r="AB22" i="15"/>
  <c r="G29" i="15"/>
  <c r="AA151" i="15"/>
  <c r="G88" i="15"/>
  <c r="AB88" i="15" s="1"/>
  <c r="E91" i="15"/>
  <c r="AB130" i="15"/>
  <c r="C25" i="14"/>
  <c r="G69" i="6"/>
  <c r="AB17" i="15"/>
  <c r="R37" i="15"/>
  <c r="AB37" i="15" s="1"/>
  <c r="R39" i="15"/>
  <c r="AB39" i="15" s="1"/>
  <c r="AB40" i="15"/>
  <c r="O33" i="15"/>
  <c r="R49" i="15"/>
  <c r="AB49" i="15" s="1"/>
  <c r="R53" i="15"/>
  <c r="R59" i="15"/>
  <c r="AB136" i="15"/>
  <c r="G92" i="15"/>
  <c r="G115" i="15"/>
  <c r="I17" i="16"/>
  <c r="K132" i="15"/>
  <c r="H129" i="15"/>
  <c r="H114" i="15" s="1"/>
  <c r="D14" i="16"/>
  <c r="D37" i="16" s="1"/>
  <c r="H56" i="13"/>
  <c r="H55" i="13" s="1"/>
  <c r="D30" i="13"/>
  <c r="E12" i="19" s="1"/>
  <c r="I12" i="19" s="1"/>
  <c r="H45" i="13"/>
  <c r="H31" i="13"/>
  <c r="H11" i="13"/>
  <c r="H10" i="13" s="1"/>
  <c r="H82" i="13"/>
  <c r="H25" i="19"/>
  <c r="I24" i="19"/>
  <c r="G86" i="13"/>
  <c r="D18" i="20" s="1"/>
  <c r="E86" i="2"/>
  <c r="G44" i="11"/>
  <c r="G49" i="11" s="1"/>
  <c r="H91" i="6" l="1"/>
  <c r="E91" i="6"/>
  <c r="F120" i="3"/>
  <c r="L151" i="15"/>
  <c r="G17" i="18" s="1"/>
  <c r="G24" i="18" s="1"/>
  <c r="AB75" i="15"/>
  <c r="AB109" i="15"/>
  <c r="H70" i="13"/>
  <c r="H103" i="14"/>
  <c r="D91" i="6"/>
  <c r="H151" i="15"/>
  <c r="H108" i="14"/>
  <c r="R114" i="15"/>
  <c r="G106" i="15"/>
  <c r="AB106" i="15" s="1"/>
  <c r="D33" i="14"/>
  <c r="D136" i="14" s="1"/>
  <c r="AB21" i="15"/>
  <c r="C87" i="9"/>
  <c r="N151" i="15"/>
  <c r="R33" i="15"/>
  <c r="AB33" i="15" s="1"/>
  <c r="E155" i="9"/>
  <c r="F151" i="15"/>
  <c r="D14" i="18" s="1"/>
  <c r="R91" i="15"/>
  <c r="AB80" i="15"/>
  <c r="D111" i="9"/>
  <c r="D193" i="9" s="1"/>
  <c r="AB19" i="15"/>
  <c r="D25" i="19"/>
  <c r="AB53" i="15"/>
  <c r="AB59" i="15"/>
  <c r="G68" i="6"/>
  <c r="AB139" i="15"/>
  <c r="E151" i="15"/>
  <c r="D13" i="18" s="1"/>
  <c r="AB29" i="15"/>
  <c r="AB15" i="15"/>
  <c r="C111" i="9"/>
  <c r="C151" i="15"/>
  <c r="D11" i="18" s="1"/>
  <c r="D151" i="15"/>
  <c r="D12" i="18" s="1"/>
  <c r="AB138" i="15"/>
  <c r="AB101" i="15"/>
  <c r="E160" i="9"/>
  <c r="E111" i="9" s="1"/>
  <c r="C91" i="6"/>
  <c r="P151" i="15"/>
  <c r="E13" i="18" s="1"/>
  <c r="Q151" i="15"/>
  <c r="E14" i="18" s="1"/>
  <c r="F91" i="6"/>
  <c r="C33" i="14"/>
  <c r="E16" i="19"/>
  <c r="I16" i="19" s="1"/>
  <c r="D86" i="13"/>
  <c r="K91" i="15"/>
  <c r="G32" i="15"/>
  <c r="J151" i="15"/>
  <c r="I14" i="16"/>
  <c r="I37" i="16" s="1"/>
  <c r="I15" i="8"/>
  <c r="I151" i="15"/>
  <c r="I80" i="8"/>
  <c r="D33" i="4"/>
  <c r="G9" i="15"/>
  <c r="AB10" i="15"/>
  <c r="H25" i="21"/>
  <c r="G114" i="15"/>
  <c r="AB115" i="15"/>
  <c r="O32" i="15"/>
  <c r="R32" i="15" s="1"/>
  <c r="I11" i="6"/>
  <c r="I10" i="6" s="1"/>
  <c r="I9" i="6" s="1"/>
  <c r="I91" i="6" s="1"/>
  <c r="G10" i="6"/>
  <c r="G9" i="6" s="1"/>
  <c r="R9" i="15"/>
  <c r="G91" i="15"/>
  <c r="AB92" i="15"/>
  <c r="E9" i="9"/>
  <c r="D8" i="9"/>
  <c r="E44" i="19"/>
  <c r="I31" i="19"/>
  <c r="H25" i="14"/>
  <c r="C11" i="14"/>
  <c r="D29" i="19" s="1"/>
  <c r="C93" i="14"/>
  <c r="H93" i="14" s="1"/>
  <c r="E169" i="9"/>
  <c r="C169" i="9"/>
  <c r="AB132" i="15"/>
  <c r="K129" i="15"/>
  <c r="AB129" i="15" s="1"/>
  <c r="K114" i="15"/>
  <c r="H30" i="13"/>
  <c r="H86" i="13" s="1"/>
  <c r="I25" i="19"/>
  <c r="D20" i="20"/>
  <c r="F86" i="2"/>
  <c r="D10" i="4"/>
  <c r="D19" i="4" s="1"/>
  <c r="AB114" i="15" l="1"/>
  <c r="E25" i="19"/>
  <c r="I13" i="18"/>
  <c r="C193" i="9"/>
  <c r="H33" i="14"/>
  <c r="D20" i="18"/>
  <c r="I20" i="18" s="1"/>
  <c r="O151" i="15"/>
  <c r="E12" i="18" s="1"/>
  <c r="I12" i="18" s="1"/>
  <c r="G91" i="6"/>
  <c r="E193" i="9"/>
  <c r="E13" i="10"/>
  <c r="AB32" i="15"/>
  <c r="I14" i="18"/>
  <c r="AB91" i="15"/>
  <c r="AB9" i="15"/>
  <c r="E23" i="10"/>
  <c r="F22" i="10" s="1"/>
  <c r="G21" i="10" s="1"/>
  <c r="D23" i="18"/>
  <c r="I23" i="18" s="1"/>
  <c r="F19" i="10"/>
  <c r="G18" i="10" s="1"/>
  <c r="G151" i="15"/>
  <c r="E11" i="18"/>
  <c r="E11" i="10"/>
  <c r="C136" i="14"/>
  <c r="H136" i="14" s="1"/>
  <c r="H11" i="14"/>
  <c r="D87" i="9"/>
  <c r="E87" i="9" s="1"/>
  <c r="E8" i="9"/>
  <c r="E17" i="10"/>
  <c r="K151" i="15"/>
  <c r="D17" i="18"/>
  <c r="E12" i="10" l="1"/>
  <c r="F10" i="10" s="1"/>
  <c r="G9" i="10" s="1"/>
  <c r="R151" i="15"/>
  <c r="AB151" i="15"/>
  <c r="D44" i="19"/>
  <c r="I44" i="19" s="1"/>
  <c r="I29" i="19"/>
  <c r="E24" i="18"/>
  <c r="I11" i="18"/>
  <c r="D24" i="18"/>
  <c r="I17" i="18"/>
  <c r="E24" i="10"/>
  <c r="F16" i="10"/>
  <c r="I24" i="18" l="1"/>
  <c r="F24" i="10"/>
  <c r="G15" i="10"/>
  <c r="G24" i="10" s="1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SAFIM</author>
    <author>NAVEGANTE</author>
  </authors>
  <commentList>
    <comment ref="I5" authorId="0">
      <text>
        <r>
          <rPr>
            <b/>
            <sz val="9"/>
            <color indexed="81"/>
            <rFont val="Tahoma"/>
            <charset val="1"/>
          </rPr>
          <t>SAFIM:</t>
        </r>
        <r>
          <rPr>
            <sz val="9"/>
            <color indexed="81"/>
            <rFont val="Tahoma"/>
            <charset val="1"/>
          </rPr>
          <t xml:space="preserve">
Se tiene cerrado hasta el mes de Julio asi que en la formula se pone el saldo hasta la fecha (Julio) despues se divide entre los 7 meses y se multiplica por 12 meses para sacar el dato del año 2021.</t>
        </r>
      </text>
    </comment>
    <comment ref="H93" authorId="1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<sst xmlns="http://schemas.openxmlformats.org/spreadsheetml/2006/main" count="1579" uniqueCount="744">
  <si>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</si>
  <si>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</si>
  <si>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</si>
  <si>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</si>
  <si>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</si>
  <si>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</si>
  <si>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</si>
  <si>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</si>
  <si>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</si>
  <si>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</si>
  <si>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</si>
  <si>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</si>
  <si>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</si>
  <si>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</si>
  <si>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</si>
  <si>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</si>
  <si>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</si>
  <si>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</si>
  <si>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</si>
  <si>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</si>
  <si>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</si>
  <si>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</si>
  <si>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</si>
  <si>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</si>
  <si>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</si>
  <si>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</si>
  <si>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</si>
  <si>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</si>
  <si>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</si>
  <si>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</si>
  <si>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</si>
  <si>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</si>
  <si>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</si>
  <si>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</si>
  <si>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</si>
  <si>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</si>
  <si>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</si>
  <si>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</si>
  <si>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</si>
  <si>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</si>
  <si>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</si>
  <si>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</si>
  <si>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</si>
  <si>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</si>
  <si>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</si>
  <si>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</si>
  <si>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</si>
  <si>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</si>
  <si>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</si>
  <si>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</si>
  <si>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</si>
  <si>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</si>
  <si>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</si>
  <si>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</si>
  <si>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</si>
  <si>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</si>
  <si>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</si>
  <si>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</si>
  <si>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</si>
  <si>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</si>
  <si>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</si>
  <si>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</si>
  <si>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</si>
  <si>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</si>
  <si>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</si>
  <si>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</si>
  <si>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</si>
  <si>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</si>
  <si>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</si>
  <si>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</si>
  <si>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</si>
  <si>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</si>
  <si>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</si>
  <si>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</si>
  <si>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</si>
  <si>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</si>
  <si>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</si>
  <si>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</si>
  <si>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</si>
  <si>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</si>
  <si>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</si>
  <si>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</si>
  <si>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</si>
  <si>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</si>
  <si>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</si>
  <si>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</si>
  <si>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</si>
  <si>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</si>
  <si>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</si>
  <si>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</si>
  <si>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</si>
  <si>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</si>
  <si>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</si>
  <si>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</si>
  <si>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</si>
  <si>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</si>
  <si>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</si>
  <si>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</si>
  <si>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</si>
  <si>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</si>
  <si>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</si>
  <si>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</si>
  <si>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</si>
  <si>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</si>
  <si>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</si>
  <si>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</si>
  <si>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</si>
  <si>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</si>
  <si>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</si>
  <si>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</si>
  <si>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</si>
  <si>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</si>
  <si>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</si>
  <si>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</si>
  <si>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</si>
  <si>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</si>
  <si>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</si>
  <si>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</si>
  <si>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</si>
  <si>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</si>
  <si>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</si>
  <si>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</si>
  <si>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</si>
  <si>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</si>
  <si>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</si>
  <si>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</si>
  <si>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</si>
  <si>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</si>
  <si>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</si>
  <si>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</si>
  <si>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</si>
  <si>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</si>
  <si>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</si>
  <si>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</si>
  <si>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</si>
  <si>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</si>
  <si>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</si>
  <si>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</si>
  <si>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</si>
  <si>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</si>
  <si>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</si>
  <si>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</si>
  <si>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</si>
  <si>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</si>
  <si>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</si>
  <si>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</si>
  <si>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</si>
  <si>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</si>
  <si>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</si>
  <si>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</si>
  <si>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</si>
  <si>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</si>
  <si>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</si>
  <si>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</si>
  <si>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</si>
  <si>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</si>
  <si>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</si>
  <si>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</si>
  <si>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</si>
  <si>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</si>
  <si>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</si>
  <si>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</si>
  <si>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</si>
  <si>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</si>
  <si>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</si>
  <si>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</si>
  <si>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</si>
  <si>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</si>
  <si>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</si>
  <si>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</si>
  <si>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</si>
  <si>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</si>
  <si>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</si>
  <si>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</si>
  <si>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</si>
  <si>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</si>
  <si>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</si>
  <si>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</si>
  <si>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</si>
  <si>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</si>
  <si>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</si>
  <si>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</si>
  <si>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</si>
  <si>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</si>
  <si>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</si>
  <si>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</si>
  <si>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</si>
  <si>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rgb="FF000000"/>
        <rFont val="Arial Narrow"/>
        <family val="2"/>
      </rPr>
      <t>(OIT)</t>
    </r>
  </si>
  <si>
    <r>
      <t xml:space="preserve">TRANSF. DE CAPITAL DEL SECT. PUB. </t>
    </r>
    <r>
      <rPr>
        <b/>
        <sz val="11"/>
        <color rgb="FF000000"/>
        <rFont val="Arial Narrow"/>
        <family val="2"/>
      </rPr>
      <t>(FISDL)</t>
    </r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</si>
  <si>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</si>
  <si>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</si>
  <si>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</si>
  <si>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</si>
  <si>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</si>
  <si>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</si>
  <si>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</si>
  <si>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</si>
  <si>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</si>
  <si>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</si>
  <si>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</si>
  <si>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</si>
  <si>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</si>
  <si>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</si>
  <si>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</si>
  <si>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</si>
  <si>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</si>
  <si>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</si>
  <si>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</si>
  <si>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</si>
  <si>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</si>
  <si>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</si>
  <si>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</si>
  <si>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</si>
  <si>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</si>
  <si>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</si>
  <si>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</si>
  <si>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</si>
  <si>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</si>
  <si>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</si>
  <si>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</si>
  <si>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</si>
  <si>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</si>
  <si>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</si>
  <si>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</si>
  <si>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</si>
  <si>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</si>
  <si>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</si>
  <si>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</si>
  <si>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</si>
  <si>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</si>
  <si>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</si>
  <si>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</si>
  <si>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</si>
  <si>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</si>
  <si>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</si>
  <si>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</si>
  <si>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</si>
  <si>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</si>
  <si>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</si>
  <si>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</si>
  <si>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</si>
  <si>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</si>
  <si>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</si>
  <si>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</si>
  <si>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</si>
  <si>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</si>
  <si>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</si>
  <si>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</si>
  <si>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</si>
  <si>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</si>
  <si>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</si>
  <si>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</si>
  <si>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</si>
  <si>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</si>
  <si>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</si>
  <si>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</si>
  <si>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</si>
  <si>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</si>
  <si>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</si>
  <si>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</si>
  <si>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</si>
  <si>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</si>
  <si>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</si>
  <si>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</si>
  <si>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</si>
  <si>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</si>
  <si>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</si>
  <si>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</si>
  <si>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</si>
  <si>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</si>
  <si>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</si>
  <si>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</si>
  <si>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</si>
  <si>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PB001</t>
  </si>
  <si>
    <t>ID001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</si>
  <si>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</si>
  <si>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</si>
  <si>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</si>
  <si>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</si>
  <si>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</si>
  <si>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</si>
  <si>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</si>
  <si>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</si>
  <si>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</si>
  <si>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</si>
  <si>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</si>
  <si>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</si>
  <si>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</si>
  <si>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</si>
  <si>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</si>
  <si>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</si>
  <si>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</si>
  <si>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</si>
  <si>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</si>
  <si>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</si>
  <si>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</si>
  <si>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</si>
  <si>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</si>
  <si>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</si>
  <si>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</si>
  <si>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</si>
  <si>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</si>
  <si>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</si>
  <si>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</si>
  <si>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</si>
  <si>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</si>
  <si>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</si>
  <si>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</si>
  <si>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</si>
  <si>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</si>
  <si>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</si>
  <si>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</si>
  <si>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</si>
  <si>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</si>
  <si>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BANCO DE FOMENTO AGROPECUARIO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</si>
  <si>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</si>
  <si>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</si>
  <si>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</si>
  <si>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</si>
  <si>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</si>
  <si>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</si>
  <si>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</si>
  <si>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</si>
  <si>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</si>
  <si>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Fdo Mpal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</si>
  <si>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</si>
  <si>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</si>
  <si>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</si>
  <si>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</si>
  <si>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</si>
  <si>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</si>
  <si>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</si>
  <si>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</si>
  <si>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</si>
  <si>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</si>
  <si>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</si>
  <si>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</si>
  <si>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</si>
  <si>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</si>
  <si>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</si>
  <si>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</si>
  <si>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</si>
  <si>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</si>
  <si>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</si>
  <si>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</si>
  <si>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</si>
  <si>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</si>
  <si>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</si>
  <si>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</si>
  <si>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</si>
  <si>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</si>
  <si>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</si>
  <si>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</si>
  <si>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</si>
  <si>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</si>
  <si>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</si>
  <si>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</si>
  <si>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</si>
  <si>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</si>
  <si>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</si>
  <si>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</si>
  <si>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</si>
  <si>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</si>
  <si>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</si>
  <si>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</si>
  <si>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</si>
  <si>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</si>
  <si>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</si>
  <si>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</si>
  <si>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</si>
  <si>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</si>
  <si>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</si>
  <si>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color rgb="FF00000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</si>
  <si>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</si>
  <si>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</si>
  <si>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</si>
  <si>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</si>
  <si>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</si>
  <si>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</si>
  <si>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</si>
  <si>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</si>
  <si>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</si>
  <si>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</si>
  <si>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</si>
  <si>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</si>
  <si>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</si>
  <si>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</si>
  <si>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</si>
  <si>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</si>
  <si>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</si>
  <si>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</si>
  <si>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</si>
  <si>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</si>
  <si>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</si>
  <si>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</si>
  <si>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</si>
  <si>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</si>
  <si>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</si>
  <si>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</si>
  <si>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</si>
  <si>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</si>
  <si>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</si>
  <si>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</si>
  <si>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</si>
  <si>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</si>
  <si>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</si>
  <si>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</si>
  <si>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</si>
  <si>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</si>
  <si>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</si>
  <si>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</si>
  <si>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</si>
  <si>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</si>
  <si>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</si>
  <si>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</si>
  <si>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</si>
  <si>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</si>
  <si>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</si>
  <si>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</si>
  <si>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ER005</t>
  </si>
  <si>
    <t>ER006</t>
  </si>
  <si>
    <t>ID002</t>
  </si>
  <si>
    <t>ER007</t>
  </si>
  <si>
    <t>ER008</t>
  </si>
  <si>
    <t>ER009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</si>
  <si>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</si>
  <si>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</si>
  <si>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</si>
  <si>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</si>
  <si>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</si>
  <si>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</si>
  <si>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</si>
  <si>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</si>
  <si>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</si>
  <si>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</si>
  <si>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</si>
  <si>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</si>
  <si>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</si>
  <si>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</si>
  <si>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</si>
  <si>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</si>
  <si>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</si>
  <si>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</si>
  <si>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</si>
  <si>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</si>
  <si>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</si>
  <si>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</si>
  <si>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</si>
  <si>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</si>
  <si>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</si>
  <si>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</si>
  <si>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</si>
  <si>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</si>
  <si>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</si>
  <si>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</si>
  <si>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</si>
  <si>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</si>
  <si>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</si>
  <si>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</si>
  <si>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</si>
  <si>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</si>
  <si>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</si>
  <si>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</si>
  <si>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</si>
  <si>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</si>
  <si>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</si>
  <si>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</si>
  <si>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</si>
  <si>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</si>
  <si>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</si>
  <si>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</si>
  <si>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</si>
  <si>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</si>
  <si>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</si>
  <si>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</si>
  <si>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</si>
  <si>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</si>
  <si>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</si>
  <si>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</si>
  <si>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</si>
  <si>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</si>
  <si>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</si>
  <si>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</si>
  <si>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</si>
  <si>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</si>
  <si>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</si>
  <si>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</si>
  <si>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</si>
  <si>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</si>
  <si>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</si>
  <si>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</si>
  <si>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</si>
  <si>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</si>
  <si>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</si>
  <si>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</si>
  <si>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</si>
  <si>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</si>
  <si>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</si>
  <si>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</si>
  <si>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</si>
  <si>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</si>
  <si>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</si>
  <si>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</si>
  <si>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</si>
  <si>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</si>
  <si>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</si>
  <si>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</si>
  <si>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</si>
  <si>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</si>
  <si>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</si>
  <si>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</si>
  <si>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</si>
  <si>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</si>
  <si>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</si>
  <si>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</si>
  <si>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</si>
  <si>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</si>
  <si>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</si>
  <si>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</si>
  <si>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</si>
  <si>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</si>
  <si>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</si>
  <si>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</si>
  <si>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</si>
  <si>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</si>
  <si>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</si>
  <si>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</si>
  <si>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</si>
  <si>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</si>
  <si>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</si>
  <si>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</si>
  <si>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</si>
  <si>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</si>
  <si>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</si>
  <si>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</si>
  <si>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</si>
  <si>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</si>
  <si>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</si>
  <si>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</si>
  <si>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</si>
  <si>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</si>
  <si>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</si>
  <si>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</si>
  <si>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</si>
  <si>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</si>
  <si>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</si>
  <si>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</si>
  <si>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</si>
  <si>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</si>
  <si>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</si>
  <si>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</si>
  <si>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</si>
  <si>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</si>
  <si>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</si>
  <si>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</si>
  <si>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</si>
  <si>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</si>
  <si>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</si>
  <si>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</si>
  <si>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Mensual</t>
  </si>
  <si>
    <t>Anual</t>
  </si>
  <si>
    <t>Tranferencias de Capital provenientes del FODES (75% para inversion) y otras fuentes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</si>
  <si>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</si>
  <si>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</si>
  <si>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</si>
  <si>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</si>
  <si>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</si>
  <si>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</si>
  <si>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</si>
  <si>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</si>
  <si>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</si>
  <si>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</si>
  <si>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</si>
  <si>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</si>
  <si>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</si>
  <si>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</si>
  <si>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</si>
  <si>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</si>
  <si>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</si>
  <si>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</si>
  <si>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</si>
  <si>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</si>
  <si>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</si>
  <si>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IV007</t>
  </si>
  <si>
    <t>IV008</t>
  </si>
  <si>
    <t>DEPOSITO DE DESECHOS</t>
  </si>
  <si>
    <t>IV009</t>
  </si>
  <si>
    <t>C.A.M., Comunicaciones, U.A.I.P.,Gerente Participación Ciudadana</t>
  </si>
  <si>
    <t>Aseo Publico, Alumbrado Público, Mantenimiento de Maquinaria,</t>
  </si>
  <si>
    <t>INVERSION CON FONDOS DE PFGL/FISDL</t>
  </si>
  <si>
    <t>INVERSION CON FONDOS DE OIT /OTROS DONACIONES</t>
  </si>
  <si>
    <t>Disposición de Desechos</t>
  </si>
  <si>
    <t>Recoleccion de Desechos</t>
  </si>
  <si>
    <t>0301-0302-303</t>
  </si>
  <si>
    <t xml:space="preserve">                                                    </t>
  </si>
  <si>
    <t>ER010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</si>
  <si>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</si>
  <si>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</si>
  <si>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</si>
  <si>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</si>
  <si>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</si>
  <si>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Presupuesto,Tesorería, Contabilidad, UATM, Catastro, Cuentas Corrientes,</t>
  </si>
  <si>
    <t>Cobro y recuperacion de mora, UACI</t>
  </si>
  <si>
    <t>COSTOS</t>
  </si>
  <si>
    <t>SALUD Y SANEAMIENTO AMBIENTAL</t>
  </si>
  <si>
    <t>Costos</t>
  </si>
  <si>
    <t>0302</t>
  </si>
  <si>
    <t>Proy.Económ</t>
  </si>
  <si>
    <t>Social</t>
  </si>
  <si>
    <t>Prëstamo</t>
  </si>
  <si>
    <t>isna</t>
  </si>
  <si>
    <t>ER012</t>
  </si>
  <si>
    <t>ER013</t>
  </si>
  <si>
    <r>
      <t xml:space="preserve">TRANSF. DE CAPITAL DEL SECT. PUB. </t>
    </r>
    <r>
      <rPr>
        <b/>
        <sz val="11"/>
        <color rgb="FF000000"/>
        <rFont val="Arial Narrow"/>
        <family val="2"/>
      </rPr>
      <t>(isna)</t>
    </r>
  </si>
  <si>
    <t xml:space="preserve">De Educación y Recreacion </t>
  </si>
  <si>
    <t>PROY</t>
  </si>
  <si>
    <t>Transferencias  de Capital del Sector Publico - isna</t>
  </si>
  <si>
    <t>PRODUCTOS FORESTALES</t>
  </si>
  <si>
    <t>Para el año 2020, el valor de X=3</t>
  </si>
  <si>
    <r>
      <t>Y</t>
    </r>
    <r>
      <rPr>
        <b/>
        <vertAlign val="subscript"/>
        <sz val="10"/>
        <color rgb="FF000000"/>
        <rFont val="Arial"/>
        <family val="2"/>
      </rPr>
      <t>2020</t>
    </r>
  </si>
  <si>
    <t>Clínica Municipal, Activo Fijo,Medio Ambiente</t>
  </si>
  <si>
    <t xml:space="preserve">OBRAS SOCIALES DIVERSAS </t>
  </si>
  <si>
    <t>COSTO</t>
  </si>
  <si>
    <t>IV011</t>
  </si>
  <si>
    <t>IV012</t>
  </si>
  <si>
    <t>IV013</t>
  </si>
  <si>
    <t>IV014</t>
  </si>
  <si>
    <t>IV015</t>
  </si>
  <si>
    <t>IV016</t>
  </si>
  <si>
    <t>IV017</t>
  </si>
  <si>
    <t>IV018</t>
  </si>
  <si>
    <t>IV019</t>
  </si>
  <si>
    <t>IV020</t>
  </si>
  <si>
    <t>IV021</t>
  </si>
  <si>
    <t>ER014</t>
  </si>
  <si>
    <t>Fondos ISNA</t>
  </si>
  <si>
    <t>IV022</t>
  </si>
  <si>
    <t>DE EMPRESAS PUBLICAS FINANCIERAS (HIPOTECARO)</t>
  </si>
  <si>
    <t>DE EMPRESAS PRIVADAS NO FINANCIERAS (VALAGRO)</t>
  </si>
  <si>
    <t>GOES</t>
  </si>
  <si>
    <t>Fondos goes</t>
  </si>
  <si>
    <t>Prevencion y Acciones p/Combatir el Covid-19</t>
  </si>
  <si>
    <t>Pandemia y Alerta Roja po Tormenta Amanda</t>
  </si>
  <si>
    <t>Pandemia y Alerta Roja po Tormenta Cristobal</t>
  </si>
  <si>
    <t>Ejecucion de Proyecto por Pandemia Covid-19</t>
  </si>
  <si>
    <t>Pavimentación de 10a Calle Ote. hasta Intersepc.Col. Troncal del Nte</t>
  </si>
  <si>
    <t>Cuentas por Cobrar años Anteriores</t>
  </si>
  <si>
    <t>Fondos</t>
  </si>
  <si>
    <t>FONDOS GOES</t>
  </si>
  <si>
    <t>Cuentas por cobrar años anteriores</t>
  </si>
  <si>
    <t>ALCALDIA MUNICIPAL DE AGUILARES, DEPARTAMENTO DE SAN SALVADOR - PRESUPUESTO APROBADO PARA EL AÑO 2021.-_</t>
  </si>
  <si>
    <t>FODES 25% LIBRE DISPONIBILIDAD</t>
  </si>
  <si>
    <t>FODES 75% LIBRE DISPONIBILIDAD</t>
  </si>
  <si>
    <t>FODES LIBRE DISPONIBILIDAD</t>
  </si>
  <si>
    <t>Pavimentación 4a C.Pte hasta intercep.con Boulevard Salinas</t>
  </si>
  <si>
    <t xml:space="preserve">FF1 </t>
  </si>
  <si>
    <t xml:space="preserve">Fodes 25% </t>
  </si>
  <si>
    <t xml:space="preserve">Fodes 75% </t>
  </si>
  <si>
    <t>Tesorería Municipal de Aguilares</t>
  </si>
  <si>
    <t>100-1207000270-4</t>
  </si>
  <si>
    <t>100-120700043-4</t>
  </si>
  <si>
    <t>Pago de Aguinaldos a Empleados</t>
  </si>
  <si>
    <t>100-1207000390-5</t>
  </si>
  <si>
    <t>Mantto.y Funcionam.CAI</t>
  </si>
  <si>
    <t>100-120700411-1</t>
  </si>
  <si>
    <t>Pavimentación Avenida Ferrocarril y Construcc. de Quiscos</t>
  </si>
  <si>
    <t>libre dispon</t>
  </si>
  <si>
    <t>Arrendam.con opcion de Compra de dos Camiones</t>
  </si>
  <si>
    <t>FODES 2%</t>
  </si>
  <si>
    <t>Prevención y Acciones p/Combatir COVID-19</t>
  </si>
  <si>
    <t>Funcionamiento del Centro del Centro Atención Infantil</t>
  </si>
  <si>
    <t>Bacheo y Revestimiento de Calles en el Casco</t>
  </si>
  <si>
    <t>Transporte y Disposición Final de Desechos sólidos</t>
  </si>
  <si>
    <t>Reparación de Tanque y Mantenimiento de Tiangue</t>
  </si>
  <si>
    <t>Prevención y Acciones p/Combatir la Pandemia COVID-20</t>
  </si>
  <si>
    <t>Asistencia Técnica y Económica por Tormenta Amanda</t>
  </si>
  <si>
    <t>Asistencia Técnica y Económica por Tormenta Cristobal</t>
  </si>
  <si>
    <t>100-120700417-0</t>
  </si>
  <si>
    <t>Pavimentación con Adoquin de Avenida</t>
  </si>
  <si>
    <t>100-120700418-9</t>
  </si>
  <si>
    <t>Reparación de Camión Compactador Frightliner</t>
  </si>
  <si>
    <t>FODES 25% libre disponibilidad</t>
  </si>
  <si>
    <t>FODES 25% - FF1 libre disponibilidad</t>
  </si>
  <si>
    <t>libre disponibilid</t>
  </si>
  <si>
    <t>IV010</t>
  </si>
  <si>
    <t>IV023</t>
  </si>
  <si>
    <t>IV024</t>
  </si>
  <si>
    <t>Bacheo y Revestimiento de Calles del Municipio</t>
  </si>
  <si>
    <t>Proyectos fondo común</t>
  </si>
  <si>
    <t xml:space="preserve"> Const.de Casa del Adulto Mayor</t>
  </si>
  <si>
    <t>Construccion de Plaza Cihuatan</t>
  </si>
  <si>
    <t xml:space="preserve">libre </t>
  </si>
  <si>
    <t xml:space="preserve"> disponibilidad</t>
  </si>
  <si>
    <t>Apoyo al Deporte y Escuelas de Futball 2022</t>
  </si>
  <si>
    <t>FONDO COMUN</t>
  </si>
  <si>
    <t>Mantto.y funcionam. Ctro de Formación Int. de la niñez y adolec. 2022</t>
  </si>
  <si>
    <t>FODES 75%+Libre disponibilidad</t>
  </si>
  <si>
    <t>goes</t>
  </si>
  <si>
    <t>Ejercicio Financiero Fiscal 2023</t>
  </si>
  <si>
    <t>Ejercicio Financiero 2023</t>
  </si>
  <si>
    <t>LISTADO DE CUENTAS BANCARIAS Y SUS SALDOS AL 31 DE DICIEMBRE DE 2022</t>
  </si>
  <si>
    <r>
      <t xml:space="preserve">EJERCICIO FINANCIERO FISCAL: </t>
    </r>
    <r>
      <rPr>
        <sz val="12"/>
        <color rgb="FF000000"/>
        <rFont val="Arial Narrow"/>
        <family val="2"/>
      </rPr>
      <t>2023</t>
    </r>
  </si>
  <si>
    <t>EJERCICIO FINANCIERO FISCAL: 2023</t>
  </si>
  <si>
    <r>
      <t xml:space="preserve">EJERCICIO FINANCIERO FISCAL:    </t>
    </r>
    <r>
      <rPr>
        <b/>
        <sz val="11"/>
        <color rgb="FF000000"/>
        <rFont val="Arial Narrow"/>
        <family val="2"/>
      </rPr>
      <t>2023</t>
    </r>
  </si>
  <si>
    <r>
      <t xml:space="preserve">EJERCICIO FINANCIERO FISCAL: </t>
    </r>
    <r>
      <rPr>
        <b/>
        <sz val="11"/>
        <color rgb="FF000000"/>
        <rFont val="Arial Narrow"/>
        <family val="2"/>
      </rPr>
      <t>2023</t>
    </r>
  </si>
  <si>
    <t>EJERCICIO FISCAL 2023</t>
  </si>
  <si>
    <t>EJERCICIO FISCAL 2023.-</t>
  </si>
  <si>
    <r>
      <t xml:space="preserve">Ejercicio Financiero Fiscal:  </t>
    </r>
    <r>
      <rPr>
        <b/>
        <sz val="12"/>
        <color rgb="FF000000"/>
        <rFont val="Arial Narrow"/>
        <family val="2"/>
      </rPr>
      <t>2023</t>
    </r>
  </si>
  <si>
    <t>Saldo 31/11/22</t>
  </si>
  <si>
    <t>100-1207000420-0</t>
  </si>
  <si>
    <t>Apoyo a la Educación</t>
  </si>
  <si>
    <t>100-1207000423-5</t>
  </si>
  <si>
    <t xml:space="preserve">Mantto. Preventivo y correctivo de estaciones de </t>
  </si>
  <si>
    <t>Bonos y Aguinaldos</t>
  </si>
  <si>
    <t>Gastos de preinversion</t>
  </si>
  <si>
    <t>Constrcción de Veterinaria municipal</t>
  </si>
  <si>
    <t>Fondo de Apoyo municipal</t>
  </si>
  <si>
    <t>Fiestas Patronales 2022-2023</t>
  </si>
  <si>
    <t>Alcaldia Municipal de Aguilares</t>
  </si>
  <si>
    <t>Cuentas por Cobrar años Anteriores 1.5%  y apoyo mpal.</t>
  </si>
  <si>
    <t>Cuentas por Cobrar años ant. 1.5% apoyo Mpal.</t>
  </si>
  <si>
    <t>216 APOYO MPAL</t>
  </si>
  <si>
    <t>125 (AG  5)</t>
  </si>
  <si>
    <t>PROYECCION DE INGRESOS CORRIENTES PARA EL AÑO 2023</t>
  </si>
  <si>
    <t>INGRESOS CORRIENTES REALES DE 2018 AL 2022</t>
  </si>
  <si>
    <t>Proy.2023</t>
  </si>
  <si>
    <t>Proy. Seg.catastro 2023</t>
  </si>
  <si>
    <t>Apoyo al Deporte y Escuelas de Futball 2023</t>
  </si>
  <si>
    <t>Mantto.y funcionam. Ctro de Formación Int. de la niñez y adolec. 2023</t>
  </si>
  <si>
    <t>Mantto. Y Func.del Centro de Formación de la Mujer 2023</t>
  </si>
  <si>
    <t>Fiestas Patronales de Aguilares 2022/2023</t>
  </si>
  <si>
    <t>APOYO A LA EDUCACION (BECAS Y OTROS)</t>
  </si>
  <si>
    <t>Mantto de Alumbrado Público 2023</t>
  </si>
  <si>
    <t>Mantto y Mejoram.Red Agua de Estaciones de Bombeo 2023</t>
  </si>
  <si>
    <t>Transporte y Disposición final de desechos sólidos (2023)</t>
  </si>
  <si>
    <t>Transferencias Generales del Estado</t>
  </si>
  <si>
    <t>Tranferencias Corrientes provenientes del FODES (Libre Disponibilidad y Apoyo Municipal)</t>
  </si>
  <si>
    <t>Transferencias  de Capital del Tesoro Publico</t>
  </si>
  <si>
    <t>FONDO DE APOYO MUNICIPAL</t>
  </si>
  <si>
    <t>Centro de Bienestar Infantil (CBI)</t>
  </si>
  <si>
    <t>CUENTAS POR PAGAR DE AÑOS ANTERIORES</t>
  </si>
  <si>
    <t xml:space="preserve">DEPOSITO DE DESECHOS </t>
  </si>
  <si>
    <t>DESECHOS SOLIDOS</t>
  </si>
  <si>
    <t>constrtuccion de cordon cuneta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</si>
</sst>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¢&quot;* #,##0.00_);_(&quot;¢&quot;* \(#,##0.00\);_(&quot;¢&quot;* &quot;-&quot;??_);_(@_)"/>
    <numFmt numFmtId="166" formatCode="_-[$€-2]* #,##0.00_-;\-[$€-2]* #,##0.00_-;_-[$€-2]* &quot;-&quot;??_-"/>
    <numFmt numFmtId="167" formatCode="_([$$-409]* #,##0.00_);_([$$-409]* \(#,##0.00\);_([$$-409]* &quot;-&quot;??_);_(@_)"/>
    <numFmt numFmtId="168" formatCode="_-[$$-409]* #,##0.00_ ;_-[$$-409]* \-#,##0.00\ ;_-[$$-409]* &quot;-&quot;??_ ;_-@_ "/>
    <numFmt numFmtId="169" formatCode="_ * #,##0_ ;_ * \-#,##0_ ;_ * &quot;-&quot;??_ ;_ @_ "/>
    <numFmt numFmtId="170" formatCode="_ * #,##0.00_ ;_ * \-#,##0.00_ ;_ * &quot;-&quot;??_ ;_ @_ "/>
    <numFmt numFmtId="171" formatCode="&quot;$&quot;#,##0.00"/>
  </numFmts>
  <fonts count="38" x14ac:knownFonts="1"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Narrow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i/>
      <sz val="12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vertAlign val="subscript"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rgb="FFFF000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 Narrow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Dot">
        <color auto="1"/>
      </right>
      <top/>
      <bottom style="medium">
        <color auto="1"/>
      </bottom>
      <diagonal/>
    </border>
    <border>
      <left style="dashDot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6" fontId="1" fillId="0" borderId="0"/>
    <xf numFmtId="43" fontId="1" fillId="0" borderId="0"/>
    <xf numFmtId="165" fontId="1" fillId="0" borderId="0"/>
    <xf numFmtId="9" fontId="1" fillId="0" borderId="0"/>
  </cellStyleXfs>
  <cellXfs count="698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Border="1"/>
    <xf numFmtId="44" fontId="2" fillId="0" borderId="18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Border="1"/>
    <xf numFmtId="44" fontId="5" fillId="0" borderId="3" xfId="0" applyNumberFormat="1" applyFont="1" applyBorder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0" fillId="0" borderId="0" xfId="0" applyNumberFormat="1"/>
    <xf numFmtId="0" fontId="2" fillId="0" borderId="1" xfId="0" applyFont="1" applyBorder="1"/>
    <xf numFmtId="44" fontId="2" fillId="0" borderId="35" xfId="0" applyNumberFormat="1" applyFont="1" applyBorder="1"/>
    <xf numFmtId="0" fontId="10" fillId="0" borderId="14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11" xfId="0" applyFont="1" applyBorder="1"/>
    <xf numFmtId="0" fontId="10" fillId="0" borderId="34" xfId="0" applyFont="1" applyBorder="1"/>
    <xf numFmtId="0" fontId="10" fillId="0" borderId="0" xfId="0" applyFont="1"/>
    <xf numFmtId="0" fontId="10" fillId="0" borderId="15" xfId="0" applyFont="1" applyBorder="1"/>
    <xf numFmtId="0" fontId="10" fillId="0" borderId="40" xfId="0" applyFont="1" applyBorder="1"/>
    <xf numFmtId="49" fontId="10" fillId="0" borderId="2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left"/>
    </xf>
    <xf numFmtId="4" fontId="10" fillId="0" borderId="23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 wrapText="1"/>
    </xf>
    <xf numFmtId="4" fontId="10" fillId="0" borderId="7" xfId="0" applyNumberFormat="1" applyFont="1" applyBorder="1" applyAlignment="1">
      <alignment horizontal="center" wrapText="1"/>
    </xf>
    <xf numFmtId="4" fontId="10" fillId="0" borderId="39" xfId="0" applyNumberFormat="1" applyFont="1" applyBorder="1" applyAlignment="1">
      <alignment horizontal="center" wrapText="1"/>
    </xf>
    <xf numFmtId="0" fontId="10" fillId="0" borderId="4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/>
    <xf numFmtId="167" fontId="10" fillId="0" borderId="3" xfId="0" applyNumberFormat="1" applyFont="1" applyBorder="1"/>
    <xf numFmtId="167" fontId="10" fillId="0" borderId="22" xfId="0" applyNumberFormat="1" applyFont="1" applyBorder="1"/>
    <xf numFmtId="0" fontId="10" fillId="0" borderId="19" xfId="0" applyFont="1" applyBorder="1" applyAlignment="1">
      <alignment horizontal="left"/>
    </xf>
    <xf numFmtId="0" fontId="10" fillId="0" borderId="7" xfId="0" applyFont="1" applyBorder="1"/>
    <xf numFmtId="167" fontId="10" fillId="0" borderId="7" xfId="0" applyNumberFormat="1" applyFont="1" applyBorder="1"/>
    <xf numFmtId="167" fontId="10" fillId="0" borderId="23" xfId="0" applyNumberFormat="1" applyFont="1" applyBorder="1"/>
    <xf numFmtId="0" fontId="10" fillId="0" borderId="1" xfId="0" applyFont="1" applyBorder="1"/>
    <xf numFmtId="0" fontId="1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2" fillId="0" borderId="55" xfId="0" applyFont="1" applyBorder="1" applyAlignment="1">
      <alignment horizontal="left"/>
    </xf>
    <xf numFmtId="0" fontId="12" fillId="0" borderId="56" xfId="0" applyFont="1" applyBorder="1"/>
    <xf numFmtId="0" fontId="12" fillId="0" borderId="57" xfId="0" applyFont="1" applyBorder="1"/>
    <xf numFmtId="0" fontId="12" fillId="0" borderId="32" xfId="0" applyFont="1" applyBorder="1" applyAlignment="1">
      <alignment horizontal="center"/>
    </xf>
    <xf numFmtId="0" fontId="12" fillId="0" borderId="56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5" fillId="0" borderId="12" xfId="0" applyFont="1" applyBorder="1" applyAlignment="1">
      <alignment horizontal="center"/>
    </xf>
    <xf numFmtId="0" fontId="15" fillId="0" borderId="10" xfId="0" applyFont="1" applyBorder="1"/>
    <xf numFmtId="0" fontId="15" fillId="0" borderId="2" xfId="0" applyFont="1" applyBorder="1"/>
    <xf numFmtId="168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8" fontId="2" fillId="0" borderId="3" xfId="0" applyNumberFormat="1" applyFont="1" applyBorder="1"/>
    <xf numFmtId="168" fontId="2" fillId="0" borderId="13" xfId="0" applyNumberFormat="1" applyFont="1" applyBorder="1"/>
    <xf numFmtId="168" fontId="2" fillId="0" borderId="2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7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44" fontId="6" fillId="0" borderId="11" xfId="0" applyNumberFormat="1" applyFont="1" applyBorder="1"/>
    <xf numFmtId="0" fontId="2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58" xfId="0" applyFont="1" applyBorder="1"/>
    <xf numFmtId="0" fontId="15" fillId="0" borderId="58" xfId="0" applyFont="1" applyBorder="1"/>
    <xf numFmtId="0" fontId="10" fillId="0" borderId="41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6" xfId="0" applyFont="1" applyBorder="1"/>
    <xf numFmtId="49" fontId="15" fillId="0" borderId="0" xfId="0" applyNumberFormat="1" applyFont="1" applyAlignment="1">
      <alignment horizontal="center"/>
    </xf>
    <xf numFmtId="49" fontId="15" fillId="0" borderId="54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0" borderId="43" xfId="0" applyNumberForma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5" fillId="0" borderId="40" xfId="0" applyNumberFormat="1" applyFont="1" applyBorder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49" fontId="10" fillId="0" borderId="59" xfId="0" applyNumberFormat="1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5" fillId="0" borderId="33" xfId="0" applyFont="1" applyBorder="1"/>
    <xf numFmtId="0" fontId="10" fillId="0" borderId="33" xfId="0" applyFont="1" applyBorder="1"/>
    <xf numFmtId="0" fontId="15" fillId="0" borderId="33" xfId="0" applyFont="1" applyBorder="1" applyAlignment="1">
      <alignment horizontal="left"/>
    </xf>
    <xf numFmtId="49" fontId="10" fillId="0" borderId="40" xfId="0" applyNumberFormat="1" applyFont="1" applyBorder="1" applyAlignment="1">
      <alignment horizontal="center"/>
    </xf>
    <xf numFmtId="0" fontId="15" fillId="0" borderId="31" xfId="0" applyFont="1" applyBorder="1"/>
    <xf numFmtId="49" fontId="10" fillId="0" borderId="47" xfId="0" applyNumberFormat="1" applyFont="1" applyBorder="1" applyAlignment="1">
      <alignment horizontal="center"/>
    </xf>
    <xf numFmtId="167" fontId="15" fillId="0" borderId="25" xfId="0" applyNumberFormat="1" applyFont="1" applyBorder="1"/>
    <xf numFmtId="167" fontId="15" fillId="0" borderId="3" xfId="0" applyNumberFormat="1" applyFont="1" applyBorder="1"/>
    <xf numFmtId="0" fontId="15" fillId="0" borderId="24" xfId="0" applyFont="1" applyBorder="1" applyAlignment="1">
      <alignment horizontal="left"/>
    </xf>
    <xf numFmtId="0" fontId="15" fillId="0" borderId="25" xfId="0" applyFont="1" applyBorder="1"/>
    <xf numFmtId="167" fontId="15" fillId="0" borderId="2" xfId="0" applyNumberFormat="1" applyFont="1" applyBorder="1"/>
    <xf numFmtId="167" fontId="15" fillId="0" borderId="35" xfId="0" applyNumberFormat="1" applyFont="1" applyBorder="1"/>
    <xf numFmtId="167" fontId="11" fillId="0" borderId="3" xfId="0" applyNumberFormat="1" applyFont="1" applyBorder="1"/>
    <xf numFmtId="167" fontId="15" fillId="0" borderId="26" xfId="0" applyNumberFormat="1" applyFont="1" applyBorder="1"/>
    <xf numFmtId="167" fontId="15" fillId="0" borderId="22" xfId="0" applyNumberFormat="1" applyFont="1" applyBorder="1"/>
    <xf numFmtId="44" fontId="4" fillId="0" borderId="3" xfId="0" applyNumberFormat="1" applyFont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5" fillId="0" borderId="44" xfId="0" applyNumberFormat="1" applyFont="1" applyBorder="1" applyAlignment="1">
      <alignment horizontal="left"/>
    </xf>
    <xf numFmtId="4" fontId="10" fillId="0" borderId="44" xfId="0" applyNumberFormat="1" applyFont="1" applyBorder="1"/>
    <xf numFmtId="49" fontId="10" fillId="0" borderId="43" xfId="0" applyNumberFormat="1" applyFont="1" applyBorder="1" applyAlignment="1">
      <alignment horizontal="left"/>
    </xf>
    <xf numFmtId="4" fontId="10" fillId="0" borderId="43" xfId="0" applyNumberFormat="1" applyFont="1" applyBorder="1"/>
    <xf numFmtId="4" fontId="10" fillId="0" borderId="43" xfId="0" applyNumberFormat="1" applyFont="1" applyBorder="1" applyAlignment="1">
      <alignment horizontal="center"/>
    </xf>
    <xf numFmtId="167" fontId="10" fillId="0" borderId="36" xfId="0" applyNumberFormat="1" applyFont="1" applyBorder="1"/>
    <xf numFmtId="0" fontId="15" fillId="0" borderId="53" xfId="0" applyFont="1" applyBorder="1"/>
    <xf numFmtId="167" fontId="15" fillId="0" borderId="52" xfId="0" applyNumberFormat="1" applyFont="1" applyBorder="1"/>
    <xf numFmtId="167" fontId="15" fillId="0" borderId="45" xfId="0" applyNumberFormat="1" applyFont="1" applyBorder="1"/>
    <xf numFmtId="49" fontId="10" fillId="0" borderId="43" xfId="0" applyNumberFormat="1" applyFont="1" applyBorder="1" applyAlignment="1">
      <alignment horizontal="center"/>
    </xf>
    <xf numFmtId="0" fontId="15" fillId="0" borderId="49" xfId="0" applyFont="1" applyBorder="1" applyAlignment="1">
      <alignment horizontal="left"/>
    </xf>
    <xf numFmtId="0" fontId="15" fillId="0" borderId="5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167" fontId="11" fillId="0" borderId="22" xfId="0" applyNumberFormat="1" applyFont="1" applyBorder="1"/>
    <xf numFmtId="0" fontId="10" fillId="0" borderId="51" xfId="0" applyFont="1" applyBorder="1" applyAlignment="1">
      <alignment horizontal="left"/>
    </xf>
    <xf numFmtId="0" fontId="10" fillId="0" borderId="36" xfId="0" applyFont="1" applyBorder="1"/>
    <xf numFmtId="167" fontId="11" fillId="0" borderId="37" xfId="0" applyNumberFormat="1" applyFont="1" applyBorder="1"/>
    <xf numFmtId="0" fontId="11" fillId="0" borderId="52" xfId="0" applyFont="1" applyBorder="1"/>
    <xf numFmtId="0" fontId="11" fillId="0" borderId="1" xfId="0" applyFont="1" applyBorder="1"/>
    <xf numFmtId="0" fontId="18" fillId="0" borderId="0" xfId="0" applyFont="1"/>
    <xf numFmtId="4" fontId="10" fillId="0" borderId="26" xfId="0" applyNumberFormat="1" applyFont="1" applyBorder="1" applyAlignment="1">
      <alignment horizontal="center"/>
    </xf>
    <xf numFmtId="167" fontId="2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7" fontId="4" fillId="0" borderId="3" xfId="0" applyNumberFormat="1" applyFont="1" applyBorder="1" applyAlignment="1">
      <alignment vertical="center"/>
    </xf>
    <xf numFmtId="167" fontId="4" fillId="0" borderId="3" xfId="0" applyNumberFormat="1" applyFont="1" applyBorder="1" applyAlignment="1">
      <alignment wrapText="1"/>
    </xf>
    <xf numFmtId="4" fontId="5" fillId="0" borderId="3" xfId="0" applyNumberFormat="1" applyFont="1" applyBorder="1"/>
    <xf numFmtId="167" fontId="5" fillId="0" borderId="3" xfId="0" applyNumberFormat="1" applyFont="1" applyBorder="1" applyAlignment="1">
      <alignment vertical="center"/>
    </xf>
    <xf numFmtId="167" fontId="5" fillId="0" borderId="3" xfId="0" applyNumberFormat="1" applyFont="1" applyBorder="1"/>
    <xf numFmtId="167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4" fontId="4" fillId="0" borderId="3" xfId="0" applyNumberFormat="1" applyFont="1" applyBorder="1"/>
    <xf numFmtId="167" fontId="4" fillId="0" borderId="3" xfId="0" applyNumberFormat="1" applyFont="1" applyBorder="1"/>
    <xf numFmtId="0" fontId="4" fillId="0" borderId="3" xfId="0" applyFont="1" applyBorder="1"/>
    <xf numFmtId="3" fontId="4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7" fontId="4" fillId="0" borderId="3" xfId="0" applyNumberFormat="1" applyFont="1" applyBorder="1" applyAlignment="1">
      <alignment horizontal="right"/>
    </xf>
    <xf numFmtId="167" fontId="4" fillId="0" borderId="2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7" fontId="5" fillId="0" borderId="3" xfId="0" applyNumberFormat="1" applyFont="1" applyBorder="1" applyAlignment="1">
      <alignment horizontal="right"/>
    </xf>
    <xf numFmtId="167" fontId="5" fillId="0" borderId="22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0" applyNumberFormat="1" applyFont="1" applyBorder="1"/>
    <xf numFmtId="167" fontId="4" fillId="0" borderId="25" xfId="0" applyNumberFormat="1" applyFont="1" applyBorder="1" applyAlignment="1">
      <alignment horizontal="right"/>
    </xf>
    <xf numFmtId="167" fontId="4" fillId="0" borderId="26" xfId="0" applyNumberFormat="1" applyFont="1" applyBorder="1" applyAlignment="1">
      <alignment horizontal="right"/>
    </xf>
    <xf numFmtId="167" fontId="5" fillId="0" borderId="36" xfId="0" applyNumberFormat="1" applyFont="1" applyBorder="1" applyAlignment="1">
      <alignment horizontal="right"/>
    </xf>
    <xf numFmtId="167" fontId="5" fillId="0" borderId="37" xfId="0" applyNumberFormat="1" applyFont="1" applyBorder="1" applyAlignment="1">
      <alignment horizontal="right"/>
    </xf>
    <xf numFmtId="0" fontId="2" fillId="0" borderId="36" xfId="0" applyFont="1" applyBorder="1"/>
    <xf numFmtId="0" fontId="17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7" fontId="4" fillId="0" borderId="25" xfId="0" applyNumberFormat="1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22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horizontal="left"/>
    </xf>
    <xf numFmtId="167" fontId="5" fillId="0" borderId="22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7" fontId="5" fillId="0" borderId="7" xfId="0" applyNumberFormat="1" applyFont="1" applyBorder="1"/>
    <xf numFmtId="167" fontId="2" fillId="0" borderId="7" xfId="0" applyNumberFormat="1" applyFont="1" applyBorder="1"/>
    <xf numFmtId="167" fontId="5" fillId="0" borderId="23" xfId="0" applyNumberFormat="1" applyFont="1" applyBorder="1" applyAlignment="1">
      <alignment wrapText="1"/>
    </xf>
    <xf numFmtId="167" fontId="4" fillId="0" borderId="2" xfId="0" applyNumberFormat="1" applyFont="1" applyBorder="1"/>
    <xf numFmtId="167" fontId="4" fillId="0" borderId="35" xfId="0" applyNumberFormat="1" applyFont="1" applyBorder="1"/>
    <xf numFmtId="44" fontId="5" fillId="0" borderId="36" xfId="0" applyNumberFormat="1" applyFont="1" applyBorder="1"/>
    <xf numFmtId="43" fontId="2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Border="1"/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/>
    <xf numFmtId="0" fontId="21" fillId="0" borderId="10" xfId="0" applyFont="1" applyBorder="1"/>
    <xf numFmtId="0" fontId="8" fillId="0" borderId="0" xfId="0" applyFont="1" applyAlignment="1">
      <alignment horizontal="right"/>
    </xf>
    <xf numFmtId="49" fontId="8" fillId="0" borderId="12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164" fontId="9" fillId="0" borderId="43" xfId="0" applyNumberFormat="1" applyFont="1" applyBorder="1"/>
    <xf numFmtId="0" fontId="8" fillId="0" borderId="43" xfId="0" applyFont="1" applyBorder="1" applyAlignment="1">
      <alignment horizontal="center"/>
    </xf>
    <xf numFmtId="0" fontId="8" fillId="0" borderId="0" xfId="0" applyFont="1"/>
    <xf numFmtId="4" fontId="6" fillId="0" borderId="0" xfId="0" applyNumberFormat="1" applyFont="1"/>
    <xf numFmtId="49" fontId="6" fillId="0" borderId="43" xfId="0" applyNumberFormat="1" applyFont="1" applyBorder="1"/>
    <xf numFmtId="49" fontId="6" fillId="0" borderId="12" xfId="0" applyNumberFormat="1" applyFont="1" applyBorder="1"/>
    <xf numFmtId="49" fontId="6" fillId="0" borderId="0" xfId="0" applyNumberFormat="1" applyFont="1"/>
    <xf numFmtId="164" fontId="6" fillId="0" borderId="0" xfId="0" applyNumberFormat="1" applyFont="1"/>
    <xf numFmtId="44" fontId="8" fillId="0" borderId="43" xfId="0" applyNumberFormat="1" applyFont="1" applyBorder="1"/>
    <xf numFmtId="44" fontId="9" fillId="0" borderId="43" xfId="0" applyNumberFormat="1" applyFont="1" applyBorder="1"/>
    <xf numFmtId="44" fontId="8" fillId="0" borderId="12" xfId="0" applyNumberFormat="1" applyFont="1" applyBorder="1"/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0" fontId="8" fillId="0" borderId="56" xfId="0" applyFont="1" applyBorder="1" applyAlignment="1">
      <alignment horizontal="left"/>
    </xf>
    <xf numFmtId="0" fontId="8" fillId="0" borderId="56" xfId="0" applyFont="1" applyBorder="1"/>
    <xf numFmtId="0" fontId="8" fillId="0" borderId="57" xfId="0" applyFont="1" applyBorder="1"/>
    <xf numFmtId="44" fontId="8" fillId="0" borderId="43" xfId="0" applyNumberFormat="1" applyFont="1" applyBorder="1" applyAlignment="1">
      <alignment horizontal="right"/>
    </xf>
    <xf numFmtId="44" fontId="8" fillId="0" borderId="32" xfId="0" applyNumberFormat="1" applyFont="1" applyBorder="1" applyAlignment="1">
      <alignment horizontal="right"/>
    </xf>
    <xf numFmtId="44" fontId="8" fillId="0" borderId="45" xfId="0" applyNumberFormat="1" applyFont="1" applyBorder="1" applyAlignment="1">
      <alignment horizontal="right"/>
    </xf>
    <xf numFmtId="44" fontId="8" fillId="0" borderId="15" xfId="0" applyNumberFormat="1" applyFont="1" applyBorder="1" applyAlignment="1">
      <alignment horizontal="right"/>
    </xf>
    <xf numFmtId="44" fontId="8" fillId="0" borderId="44" xfId="0" applyNumberFormat="1" applyFont="1" applyBorder="1" applyAlignment="1">
      <alignment horizontal="right"/>
    </xf>
    <xf numFmtId="44" fontId="8" fillId="0" borderId="12" xfId="0" applyNumberFormat="1" applyFont="1" applyBorder="1" applyAlignment="1">
      <alignment horizontal="right"/>
    </xf>
    <xf numFmtId="44" fontId="12" fillId="0" borderId="44" xfId="0" applyNumberFormat="1" applyFont="1" applyBorder="1" applyAlignment="1">
      <alignment horizontal="right"/>
    </xf>
    <xf numFmtId="44" fontId="12" fillId="0" borderId="43" xfId="0" applyNumberFormat="1" applyFont="1" applyBorder="1" applyAlignment="1">
      <alignment horizontal="right"/>
    </xf>
    <xf numFmtId="44" fontId="12" fillId="0" borderId="45" xfId="0" applyNumberFormat="1" applyFont="1" applyBorder="1" applyAlignment="1">
      <alignment horizontal="right"/>
    </xf>
    <xf numFmtId="44" fontId="12" fillId="0" borderId="12" xfId="0" applyNumberFormat="1" applyFont="1" applyBorder="1" applyAlignment="1">
      <alignment horizontal="right"/>
    </xf>
    <xf numFmtId="44" fontId="3" fillId="0" borderId="26" xfId="0" applyNumberFormat="1" applyFont="1" applyBorder="1" applyAlignment="1">
      <alignment horizontal="center"/>
    </xf>
    <xf numFmtId="167" fontId="4" fillId="0" borderId="36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0" fontId="15" fillId="0" borderId="0" xfId="0" applyFont="1"/>
    <xf numFmtId="167" fontId="15" fillId="0" borderId="0" xfId="0" applyNumberFormat="1" applyFont="1"/>
    <xf numFmtId="4" fontId="25" fillId="0" borderId="7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26" fillId="0" borderId="44" xfId="0" applyNumberFormat="1" applyFont="1" applyBorder="1" applyAlignment="1">
      <alignment horizontal="center"/>
    </xf>
    <xf numFmtId="4" fontId="25" fillId="0" borderId="13" xfId="0" applyNumberFormat="1" applyFont="1" applyBorder="1" applyAlignment="1">
      <alignment horizontal="center"/>
    </xf>
    <xf numFmtId="4" fontId="26" fillId="0" borderId="42" xfId="0" applyNumberFormat="1" applyFont="1" applyBorder="1" applyAlignment="1">
      <alignment horizontal="center"/>
    </xf>
    <xf numFmtId="4" fontId="26" fillId="0" borderId="33" xfId="0" applyNumberFormat="1" applyFont="1" applyBorder="1" applyAlignment="1">
      <alignment horizontal="center"/>
    </xf>
    <xf numFmtId="4" fontId="26" fillId="0" borderId="43" xfId="0" applyNumberFormat="1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25" fillId="0" borderId="27" xfId="0" applyNumberFormat="1" applyFont="1" applyBorder="1" applyAlignment="1">
      <alignment horizontal="center"/>
    </xf>
    <xf numFmtId="4" fontId="25" fillId="0" borderId="44" xfId="0" applyNumberFormat="1" applyFont="1" applyBorder="1" applyAlignment="1">
      <alignment horizontal="center"/>
    </xf>
    <xf numFmtId="4" fontId="26" fillId="0" borderId="32" xfId="0" applyNumberFormat="1" applyFont="1" applyBorder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4" fontId="25" fillId="0" borderId="43" xfId="0" applyNumberFormat="1" applyFont="1" applyBorder="1" applyAlignment="1">
      <alignment horizontal="center"/>
    </xf>
    <xf numFmtId="49" fontId="26" fillId="0" borderId="44" xfId="0" applyNumberFormat="1" applyFont="1" applyBorder="1" applyAlignment="1">
      <alignment horizontal="center"/>
    </xf>
    <xf numFmtId="0" fontId="25" fillId="0" borderId="24" xfId="0" applyFont="1" applyBorder="1" applyAlignment="1">
      <alignment horizontal="left"/>
    </xf>
    <xf numFmtId="167" fontId="25" fillId="0" borderId="25" xfId="0" applyNumberFormat="1" applyFont="1" applyBorder="1"/>
    <xf numFmtId="167" fontId="25" fillId="0" borderId="26" xfId="0" applyNumberFormat="1" applyFont="1" applyBorder="1"/>
    <xf numFmtId="0" fontId="25" fillId="0" borderId="4" xfId="0" applyFont="1" applyBorder="1" applyAlignment="1">
      <alignment horizontal="left"/>
    </xf>
    <xf numFmtId="4" fontId="25" fillId="0" borderId="3" xfId="0" applyNumberFormat="1" applyFont="1" applyBorder="1"/>
    <xf numFmtId="167" fontId="25" fillId="0" borderId="3" xfId="0" applyNumberFormat="1" applyFont="1" applyBorder="1"/>
    <xf numFmtId="167" fontId="26" fillId="0" borderId="3" xfId="0" applyNumberFormat="1" applyFont="1" applyBorder="1"/>
    <xf numFmtId="49" fontId="26" fillId="0" borderId="4" xfId="0" applyNumberFormat="1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49" fontId="25" fillId="0" borderId="4" xfId="0" applyNumberFormat="1" applyFont="1" applyBorder="1" applyAlignment="1">
      <alignment horizontal="left"/>
    </xf>
    <xf numFmtId="44" fontId="25" fillId="0" borderId="3" xfId="0" applyNumberFormat="1" applyFont="1" applyBorder="1"/>
    <xf numFmtId="0" fontId="26" fillId="0" borderId="38" xfId="0" applyFont="1" applyBorder="1" applyAlignment="1">
      <alignment horizontal="left"/>
    </xf>
    <xf numFmtId="167" fontId="26" fillId="0" borderId="36" xfId="0" applyNumberFormat="1" applyFont="1" applyBorder="1"/>
    <xf numFmtId="167" fontId="25" fillId="0" borderId="36" xfId="0" applyNumberFormat="1" applyFont="1" applyBorder="1"/>
    <xf numFmtId="49" fontId="26" fillId="0" borderId="1" xfId="0" applyNumberFormat="1" applyFont="1" applyBorder="1" applyAlignment="1">
      <alignment horizontal="left"/>
    </xf>
    <xf numFmtId="167" fontId="25" fillId="0" borderId="1" xfId="0" applyNumberFormat="1" applyFont="1" applyBorder="1"/>
    <xf numFmtId="167" fontId="25" fillId="0" borderId="16" xfId="0" applyNumberFormat="1" applyFont="1" applyBorder="1"/>
    <xf numFmtId="167" fontId="25" fillId="0" borderId="2" xfId="0" applyNumberFormat="1" applyFont="1" applyBorder="1"/>
    <xf numFmtId="167" fontId="25" fillId="0" borderId="35" xfId="0" applyNumberFormat="1" applyFont="1" applyBorder="1"/>
    <xf numFmtId="167" fontId="26" fillId="0" borderId="35" xfId="0" applyNumberFormat="1" applyFont="1" applyBorder="1"/>
    <xf numFmtId="167" fontId="25" fillId="0" borderId="12" xfId="0" applyNumberFormat="1" applyFont="1" applyBorder="1"/>
    <xf numFmtId="44" fontId="11" fillId="0" borderId="3" xfId="0" applyNumberFormat="1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7" fillId="0" borderId="3" xfId="0" applyFont="1" applyBorder="1"/>
    <xf numFmtId="0" fontId="27" fillId="0" borderId="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44" fontId="27" fillId="0" borderId="3" xfId="0" applyNumberFormat="1" applyFont="1" applyBorder="1"/>
    <xf numFmtId="44" fontId="27" fillId="0" borderId="22" xfId="0" applyNumberFormat="1" applyFont="1" applyBorder="1"/>
    <xf numFmtId="44" fontId="11" fillId="0" borderId="22" xfId="0" applyNumberFormat="1" applyFont="1" applyBorder="1"/>
    <xf numFmtId="44" fontId="11" fillId="0" borderId="7" xfId="0" applyNumberFormat="1" applyFont="1" applyBorder="1"/>
    <xf numFmtId="44" fontId="11" fillId="0" borderId="23" xfId="0" applyNumberFormat="1" applyFont="1" applyBorder="1"/>
    <xf numFmtId="44" fontId="27" fillId="0" borderId="2" xfId="0" applyNumberFormat="1" applyFont="1" applyBorder="1"/>
    <xf numFmtId="0" fontId="28" fillId="0" borderId="0" xfId="0" applyFont="1"/>
    <xf numFmtId="167" fontId="26" fillId="0" borderId="54" xfId="0" applyNumberFormat="1" applyFont="1" applyBorder="1"/>
    <xf numFmtId="0" fontId="29" fillId="0" borderId="0" xfId="0" applyFont="1"/>
    <xf numFmtId="43" fontId="0" fillId="0" borderId="0" xfId="0" applyNumberFormat="1"/>
    <xf numFmtId="167" fontId="29" fillId="0" borderId="0" xfId="0" applyNumberFormat="1" applyFont="1"/>
    <xf numFmtId="44" fontId="5" fillId="0" borderId="25" xfId="0" applyNumberFormat="1" applyFont="1" applyBorder="1"/>
    <xf numFmtId="44" fontId="5" fillId="0" borderId="26" xfId="0" applyNumberFormat="1" applyFont="1" applyBorder="1"/>
    <xf numFmtId="44" fontId="5" fillId="0" borderId="22" xfId="0" applyNumberFormat="1" applyFont="1" applyBorder="1"/>
    <xf numFmtId="44" fontId="5" fillId="0" borderId="37" xfId="0" applyNumberFormat="1" applyFont="1" applyBorder="1"/>
    <xf numFmtId="44" fontId="4" fillId="0" borderId="12" xfId="0" applyNumberFormat="1" applyFont="1" applyBorder="1"/>
    <xf numFmtId="44" fontId="2" fillId="0" borderId="25" xfId="0" applyNumberFormat="1" applyFont="1" applyBorder="1"/>
    <xf numFmtId="44" fontId="2" fillId="0" borderId="26" xfId="0" applyNumberFormat="1" applyFont="1" applyBorder="1"/>
    <xf numFmtId="44" fontId="4" fillId="0" borderId="42" xfId="0" applyNumberFormat="1" applyFont="1" applyBorder="1"/>
    <xf numFmtId="0" fontId="5" fillId="0" borderId="4" xfId="0" applyFont="1" applyBorder="1" applyAlignment="1">
      <alignment horizontal="center"/>
    </xf>
    <xf numFmtId="167" fontId="5" fillId="0" borderId="7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67" fontId="5" fillId="0" borderId="5" xfId="0" applyNumberFormat="1" applyFont="1" applyBorder="1" applyAlignment="1">
      <alignment horizontal="right"/>
    </xf>
    <xf numFmtId="44" fontId="29" fillId="0" borderId="0" xfId="0" applyNumberFormat="1" applyFont="1"/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169" fontId="12" fillId="0" borderId="3" xfId="0" applyNumberFormat="1" applyFont="1" applyBorder="1"/>
    <xf numFmtId="169" fontId="12" fillId="0" borderId="0" xfId="0" applyNumberFormat="1" applyFont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66" xfId="0" applyBorder="1" applyAlignment="1">
      <alignment horizontal="center"/>
    </xf>
    <xf numFmtId="0" fontId="12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12" fillId="0" borderId="7" xfId="0" applyNumberFormat="1" applyFont="1" applyBorder="1"/>
    <xf numFmtId="43" fontId="12" fillId="0" borderId="27" xfId="0" applyNumberFormat="1" applyFont="1" applyBorder="1"/>
    <xf numFmtId="43" fontId="12" fillId="3" borderId="31" xfId="0" applyNumberFormat="1" applyFont="1" applyFill="1" applyBorder="1"/>
    <xf numFmtId="43" fontId="12" fillId="3" borderId="67" xfId="0" applyNumberFormat="1" applyFont="1" applyFill="1" applyBorder="1"/>
    <xf numFmtId="43" fontId="1" fillId="0" borderId="0" xfId="0" applyNumberFormat="1" applyFont="1"/>
    <xf numFmtId="43" fontId="12" fillId="3" borderId="0" xfId="0" applyNumberFormat="1" applyFont="1" applyFill="1"/>
    <xf numFmtId="0" fontId="12" fillId="0" borderId="3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43" fontId="12" fillId="0" borderId="3" xfId="0" applyNumberFormat="1" applyFont="1" applyBorder="1"/>
    <xf numFmtId="0" fontId="12" fillId="0" borderId="4" xfId="0" applyFont="1" applyBorder="1"/>
    <xf numFmtId="0" fontId="12" fillId="0" borderId="38" xfId="0" applyFont="1" applyBorder="1"/>
    <xf numFmtId="0" fontId="12" fillId="0" borderId="36" xfId="0" applyFont="1" applyBorder="1" applyAlignment="1">
      <alignment horizontal="center"/>
    </xf>
    <xf numFmtId="43" fontId="12" fillId="0" borderId="36" xfId="0" applyNumberFormat="1" applyFont="1" applyBorder="1"/>
    <xf numFmtId="0" fontId="12" fillId="0" borderId="59" xfId="0" applyFont="1" applyBorder="1"/>
    <xf numFmtId="0" fontId="12" fillId="0" borderId="5" xfId="0" applyFont="1" applyBorder="1" applyAlignment="1">
      <alignment horizontal="center"/>
    </xf>
    <xf numFmtId="43" fontId="12" fillId="0" borderId="5" xfId="0" applyNumberFormat="1" applyFont="1" applyBorder="1"/>
    <xf numFmtId="0" fontId="12" fillId="0" borderId="1" xfId="0" applyFont="1" applyBorder="1"/>
    <xf numFmtId="0" fontId="12" fillId="0" borderId="2" xfId="0" applyFont="1" applyBorder="1"/>
    <xf numFmtId="43" fontId="12" fillId="0" borderId="2" xfId="0" applyNumberFormat="1" applyFont="1" applyBorder="1"/>
    <xf numFmtId="43" fontId="12" fillId="0" borderId="0" xfId="0" applyNumberFormat="1" applyFont="1"/>
    <xf numFmtId="10" fontId="12" fillId="0" borderId="0" xfId="0" applyNumberFormat="1" applyFont="1"/>
    <xf numFmtId="167" fontId="25" fillId="0" borderId="27" xfId="0" applyNumberFormat="1" applyFont="1" applyBorder="1"/>
    <xf numFmtId="0" fontId="26" fillId="0" borderId="58" xfId="0" applyFont="1" applyBorder="1"/>
    <xf numFmtId="0" fontId="25" fillId="0" borderId="25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4" fontId="26" fillId="0" borderId="3" xfId="0" applyNumberFormat="1" applyFont="1" applyBorder="1" applyAlignment="1">
      <alignment wrapText="1"/>
    </xf>
    <xf numFmtId="4" fontId="25" fillId="0" borderId="3" xfId="0" applyNumberFormat="1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6" fillId="0" borderId="36" xfId="0" applyFont="1" applyBorder="1" applyAlignment="1">
      <alignment wrapText="1"/>
    </xf>
    <xf numFmtId="4" fontId="25" fillId="0" borderId="16" xfId="0" applyNumberFormat="1" applyFont="1" applyBorder="1" applyAlignment="1">
      <alignment horizontal="center" wrapText="1"/>
    </xf>
    <xf numFmtId="169" fontId="12" fillId="0" borderId="63" xfId="0" applyNumberFormat="1" applyFont="1" applyBorder="1"/>
    <xf numFmtId="44" fontId="17" fillId="0" borderId="3" xfId="0" applyNumberFormat="1" applyFont="1" applyBorder="1"/>
    <xf numFmtId="169" fontId="1" fillId="0" borderId="3" xfId="0" applyNumberFormat="1" applyFont="1" applyBorder="1"/>
    <xf numFmtId="44" fontId="1" fillId="0" borderId="6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8" fontId="6" fillId="0" borderId="0" xfId="0" applyNumberFormat="1" applyFont="1"/>
    <xf numFmtId="8" fontId="6" fillId="0" borderId="28" xfId="0" applyNumberFormat="1" applyFont="1" applyBorder="1"/>
    <xf numFmtId="44" fontId="4" fillId="0" borderId="5" xfId="0" applyNumberFormat="1" applyFont="1" applyBorder="1"/>
    <xf numFmtId="44" fontId="0" fillId="4" borderId="3" xfId="0" applyNumberFormat="1" applyFill="1" applyBorder="1"/>
    <xf numFmtId="0" fontId="2" fillId="4" borderId="4" xfId="0" applyFont="1" applyFill="1" applyBorder="1" applyAlignment="1">
      <alignment horizontal="center"/>
    </xf>
    <xf numFmtId="44" fontId="2" fillId="0" borderId="58" xfId="0" applyNumberFormat="1" applyFont="1" applyBorder="1"/>
    <xf numFmtId="170" fontId="12" fillId="0" borderId="63" xfId="0" applyNumberFormat="1" applyFont="1" applyBorder="1"/>
    <xf numFmtId="0" fontId="15" fillId="0" borderId="55" xfId="0" applyFont="1" applyBorder="1" applyAlignment="1">
      <alignment horizontal="center" wrapText="1"/>
    </xf>
    <xf numFmtId="44" fontId="12" fillId="0" borderId="63" xfId="0" applyNumberFormat="1" applyFont="1" applyBorder="1"/>
    <xf numFmtId="44" fontId="12" fillId="0" borderId="39" xfId="0" applyNumberFormat="1" applyFont="1" applyBorder="1"/>
    <xf numFmtId="44" fontId="12" fillId="0" borderId="10" xfId="0" applyNumberFormat="1" applyFont="1" applyBorder="1"/>
    <xf numFmtId="0" fontId="2" fillId="5" borderId="4" xfId="0" applyFont="1" applyFill="1" applyBorder="1" applyAlignment="1">
      <alignment horizontal="center"/>
    </xf>
    <xf numFmtId="167" fontId="32" fillId="0" borderId="3" xfId="0" applyNumberFormat="1" applyFont="1" applyBorder="1" applyAlignment="1">
      <alignment horizontal="right"/>
    </xf>
    <xf numFmtId="0" fontId="3" fillId="0" borderId="23" xfId="0" applyFont="1" applyBorder="1"/>
    <xf numFmtId="0" fontId="4" fillId="0" borderId="19" xfId="0" applyFont="1" applyBorder="1" applyAlignment="1">
      <alignment horizontal="center"/>
    </xf>
    <xf numFmtId="0" fontId="4" fillId="0" borderId="7" xfId="0" applyFont="1" applyBorder="1"/>
    <xf numFmtId="44" fontId="4" fillId="0" borderId="20" xfId="0" applyNumberFormat="1" applyFont="1" applyBorder="1"/>
    <xf numFmtId="0" fontId="2" fillId="0" borderId="59" xfId="0" applyFont="1" applyBorder="1" applyAlignment="1">
      <alignment horizontal="center"/>
    </xf>
    <xf numFmtId="0" fontId="2" fillId="0" borderId="5" xfId="0" applyFont="1" applyBorder="1"/>
    <xf numFmtId="44" fontId="2" fillId="0" borderId="5" xfId="0" applyNumberFormat="1" applyFont="1" applyBorder="1"/>
    <xf numFmtId="43" fontId="12" fillId="3" borderId="33" xfId="0" applyNumberFormat="1" applyFont="1" applyFill="1" applyBorder="1"/>
    <xf numFmtId="0" fontId="0" fillId="6" borderId="3" xfId="0" applyFill="1" applyBorder="1"/>
    <xf numFmtId="44" fontId="0" fillId="6" borderId="3" xfId="0" applyNumberFormat="1" applyFill="1" applyBorder="1"/>
    <xf numFmtId="0" fontId="12" fillId="6" borderId="63" xfId="0" applyFont="1" applyFill="1" applyBorder="1" applyAlignment="1">
      <alignment horizontal="center"/>
    </xf>
    <xf numFmtId="44" fontId="1" fillId="6" borderId="63" xfId="0" applyNumberFormat="1" applyFont="1" applyFill="1" applyBorder="1" applyAlignment="1">
      <alignment horizontal="center"/>
    </xf>
    <xf numFmtId="170" fontId="12" fillId="6" borderId="63" xfId="0" applyNumberFormat="1" applyFont="1" applyFill="1" applyBorder="1"/>
    <xf numFmtId="0" fontId="12" fillId="6" borderId="0" xfId="0" applyFont="1" applyFill="1" applyAlignment="1">
      <alignment horizontal="center"/>
    </xf>
    <xf numFmtId="43" fontId="1" fillId="6" borderId="0" xfId="0" applyNumberFormat="1" applyFont="1" applyFill="1" applyAlignment="1">
      <alignment horizontal="right"/>
    </xf>
    <xf numFmtId="0" fontId="12" fillId="6" borderId="68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/>
    </xf>
    <xf numFmtId="43" fontId="12" fillId="6" borderId="26" xfId="0" applyNumberFormat="1" applyFont="1" applyFill="1" applyBorder="1"/>
    <xf numFmtId="43" fontId="12" fillId="6" borderId="6" xfId="0" applyNumberFormat="1" applyFont="1" applyFill="1" applyBorder="1"/>
    <xf numFmtId="43" fontId="12" fillId="6" borderId="35" xfId="0" applyNumberFormat="1" applyFont="1" applyFill="1" applyBorder="1"/>
    <xf numFmtId="0" fontId="0" fillId="6" borderId="0" xfId="0" applyFill="1"/>
    <xf numFmtId="0" fontId="12" fillId="8" borderId="63" xfId="0" applyFont="1" applyFill="1" applyBorder="1" applyAlignment="1">
      <alignment horizontal="center"/>
    </xf>
    <xf numFmtId="0" fontId="12" fillId="9" borderId="63" xfId="0" applyFont="1" applyFill="1" applyBorder="1" applyAlignment="1">
      <alignment horizontal="center"/>
    </xf>
    <xf numFmtId="0" fontId="17" fillId="7" borderId="3" xfId="0" applyFont="1" applyFill="1" applyBorder="1"/>
    <xf numFmtId="0" fontId="3" fillId="0" borderId="0" xfId="0" applyFont="1" applyAlignment="1">
      <alignment horizontal="left"/>
    </xf>
    <xf numFmtId="0" fontId="6" fillId="6" borderId="3" xfId="0" applyFont="1" applyFill="1" applyBorder="1" applyAlignment="1">
      <alignment horizontal="center"/>
    </xf>
    <xf numFmtId="0" fontId="6" fillId="6" borderId="3" xfId="0" applyFont="1" applyFill="1" applyBorder="1"/>
    <xf numFmtId="44" fontId="6" fillId="6" borderId="3" xfId="0" applyNumberFormat="1" applyFont="1" applyFill="1" applyBorder="1"/>
    <xf numFmtId="44" fontId="2" fillId="6" borderId="3" xfId="0" applyNumberFormat="1" applyFont="1" applyFill="1" applyBorder="1"/>
    <xf numFmtId="44" fontId="12" fillId="6" borderId="3" xfId="0" applyNumberFormat="1" applyFont="1" applyFill="1" applyBorder="1"/>
    <xf numFmtId="44" fontId="2" fillId="10" borderId="18" xfId="0" applyNumberFormat="1" applyFont="1" applyFill="1" applyBorder="1"/>
    <xf numFmtId="44" fontId="5" fillId="10" borderId="18" xfId="0" applyNumberFormat="1" applyFont="1" applyFill="1" applyBorder="1"/>
    <xf numFmtId="44" fontId="2" fillId="10" borderId="20" xfId="0" applyNumberFormat="1" applyFont="1" applyFill="1" applyBorder="1"/>
    <xf numFmtId="44" fontId="2" fillId="0" borderId="56" xfId="0" applyNumberFormat="1" applyFont="1" applyBorder="1"/>
    <xf numFmtId="0" fontId="2" fillId="0" borderId="32" xfId="0" applyFont="1" applyBorder="1" applyAlignment="1">
      <alignment horizontal="center"/>
    </xf>
    <xf numFmtId="0" fontId="6" fillId="0" borderId="65" xfId="0" applyFont="1" applyBorder="1" applyAlignment="1">
      <alignment horizontal="left"/>
    </xf>
    <xf numFmtId="4" fontId="2" fillId="0" borderId="3" xfId="0" applyNumberFormat="1" applyFont="1" applyBorder="1"/>
    <xf numFmtId="0" fontId="3" fillId="0" borderId="55" xfId="0" applyFont="1" applyBorder="1" applyAlignment="1">
      <alignment horizontal="center" wrapText="1"/>
    </xf>
    <xf numFmtId="167" fontId="35" fillId="0" borderId="3" xfId="0" applyNumberFormat="1" applyFont="1" applyBorder="1" applyAlignment="1">
      <alignment horizontal="right"/>
    </xf>
    <xf numFmtId="0" fontId="2" fillId="11" borderId="3" xfId="0" applyFont="1" applyFill="1" applyBorder="1"/>
    <xf numFmtId="0" fontId="10" fillId="0" borderId="3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7" fontId="2" fillId="0" borderId="3" xfId="0" applyNumberFormat="1" applyFont="1" applyBorder="1" applyAlignment="1">
      <alignment horizontal="right"/>
    </xf>
    <xf numFmtId="44" fontId="4" fillId="0" borderId="25" xfId="0" applyNumberFormat="1" applyFont="1" applyBorder="1"/>
    <xf numFmtId="0" fontId="3" fillId="0" borderId="9" xfId="0" applyFont="1" applyBorder="1" applyAlignment="1">
      <alignment horizontal="center" wrapText="1"/>
    </xf>
    <xf numFmtId="171" fontId="0" fillId="10" borderId="3" xfId="0" applyNumberFormat="1" applyFill="1" applyBorder="1"/>
    <xf numFmtId="44" fontId="2" fillId="6" borderId="54" xfId="0" applyNumberFormat="1" applyFont="1" applyFill="1" applyBorder="1"/>
    <xf numFmtId="44" fontId="6" fillId="6" borderId="54" xfId="0" applyNumberFormat="1" applyFont="1" applyFill="1" applyBorder="1"/>
    <xf numFmtId="44" fontId="2" fillId="10" borderId="3" xfId="0" applyNumberFormat="1" applyFont="1" applyFill="1" applyBorder="1"/>
    <xf numFmtId="44" fontId="2" fillId="10" borderId="54" xfId="0" applyNumberFormat="1" applyFont="1" applyFill="1" applyBorder="1"/>
    <xf numFmtId="44" fontId="2" fillId="10" borderId="22" xfId="0" applyNumberFormat="1" applyFont="1" applyFill="1" applyBorder="1"/>
    <xf numFmtId="0" fontId="26" fillId="6" borderId="3" xfId="0" applyFont="1" applyFill="1" applyBorder="1" applyAlignment="1">
      <alignment wrapText="1"/>
    </xf>
    <xf numFmtId="167" fontId="26" fillId="6" borderId="3" xfId="0" applyNumberFormat="1" applyFont="1" applyFill="1" applyBorder="1"/>
    <xf numFmtId="167" fontId="25" fillId="6" borderId="3" xfId="0" applyNumberFormat="1" applyFont="1" applyFill="1" applyBorder="1"/>
    <xf numFmtId="167" fontId="25" fillId="6" borderId="26" xfId="0" applyNumberFormat="1" applyFont="1" applyFill="1" applyBorder="1"/>
    <xf numFmtId="0" fontId="26" fillId="6" borderId="4" xfId="0" applyFont="1" applyFill="1" applyBorder="1" applyAlignment="1">
      <alignment horizontal="left"/>
    </xf>
    <xf numFmtId="0" fontId="2" fillId="6" borderId="0" xfId="0" applyFont="1" applyFill="1"/>
    <xf numFmtId="0" fontId="12" fillId="0" borderId="0" xfId="0" applyFont="1" applyAlignment="1">
      <alignment horizontal="center"/>
    </xf>
    <xf numFmtId="0" fontId="1" fillId="0" borderId="0" xfId="0" applyFont="1"/>
    <xf numFmtId="0" fontId="1" fillId="6" borderId="0" xfId="0" applyFont="1" applyFill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left"/>
    </xf>
    <xf numFmtId="169" fontId="1" fillId="0" borderId="0" xfId="0" applyNumberFormat="1" applyFont="1"/>
    <xf numFmtId="169" fontId="1" fillId="6" borderId="0" xfId="0" applyNumberFormat="1" applyFont="1" applyFill="1"/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64" xfId="0" applyFont="1" applyBorder="1"/>
    <xf numFmtId="0" fontId="1" fillId="0" borderId="65" xfId="0" applyFont="1" applyBorder="1"/>
    <xf numFmtId="43" fontId="1" fillId="0" borderId="65" xfId="0" applyNumberFormat="1" applyFont="1" applyBorder="1"/>
    <xf numFmtId="43" fontId="1" fillId="6" borderId="3" xfId="0" applyNumberFormat="1" applyFont="1" applyFill="1" applyBorder="1"/>
    <xf numFmtId="43" fontId="1" fillId="0" borderId="66" xfId="0" applyNumberFormat="1" applyFont="1" applyBorder="1"/>
    <xf numFmtId="43" fontId="1" fillId="2" borderId="3" xfId="0" applyNumberFormat="1" applyFont="1" applyFill="1" applyBorder="1"/>
    <xf numFmtId="43" fontId="1" fillId="2" borderId="65" xfId="0" applyNumberFormat="1" applyFont="1" applyFill="1" applyBorder="1"/>
    <xf numFmtId="43" fontId="1" fillId="6" borderId="0" xfId="0" applyNumberFormat="1" applyFont="1" applyFill="1"/>
    <xf numFmtId="0" fontId="1" fillId="6" borderId="7" xfId="0" applyFont="1" applyFill="1" applyBorder="1"/>
    <xf numFmtId="0" fontId="1" fillId="2" borderId="3" xfId="0" applyFont="1" applyFill="1" applyBorder="1"/>
    <xf numFmtId="0" fontId="1" fillId="6" borderId="10" xfId="0" applyFont="1" applyFill="1" applyBorder="1"/>
    <xf numFmtId="43" fontId="1" fillId="6" borderId="30" xfId="0" applyNumberFormat="1" applyFont="1" applyFill="1" applyBorder="1" applyAlignment="1">
      <alignment horizontal="right"/>
    </xf>
    <xf numFmtId="0" fontId="1" fillId="6" borderId="0" xfId="0" applyFont="1" applyFill="1" applyAlignment="1">
      <alignment horizontal="right"/>
    </xf>
    <xf numFmtId="0" fontId="1" fillId="3" borderId="14" xfId="0" applyFont="1" applyFill="1" applyBorder="1"/>
    <xf numFmtId="0" fontId="1" fillId="6" borderId="11" xfId="0" applyFont="1" applyFill="1" applyBorder="1" applyAlignment="1">
      <alignment horizontal="right"/>
    </xf>
    <xf numFmtId="0" fontId="1" fillId="3" borderId="32" xfId="0" applyFont="1" applyFill="1" applyBorder="1"/>
    <xf numFmtId="0" fontId="1" fillId="3" borderId="15" xfId="0" applyFont="1" applyFill="1" applyBorder="1"/>
    <xf numFmtId="0" fontId="1" fillId="0" borderId="14" xfId="0" applyFont="1" applyBorder="1"/>
    <xf numFmtId="0" fontId="1" fillId="0" borderId="69" xfId="0" applyFont="1" applyBorder="1"/>
    <xf numFmtId="0" fontId="1" fillId="0" borderId="32" xfId="0" applyFont="1" applyBorder="1"/>
    <xf numFmtId="0" fontId="1" fillId="0" borderId="33" xfId="0" applyFont="1" applyBorder="1"/>
    <xf numFmtId="43" fontId="1" fillId="0" borderId="32" xfId="0" applyNumberFormat="1" applyFont="1" applyBorder="1"/>
    <xf numFmtId="43" fontId="1" fillId="0" borderId="15" xfId="0" applyNumberFormat="1" applyFont="1" applyBorder="1"/>
    <xf numFmtId="0" fontId="1" fillId="0" borderId="11" xfId="0" applyFont="1" applyBorder="1"/>
    <xf numFmtId="0" fontId="1" fillId="6" borderId="11" xfId="0" applyFont="1" applyFill="1" applyBorder="1"/>
    <xf numFmtId="0" fontId="1" fillId="0" borderId="34" xfId="0" applyFont="1" applyBorder="1"/>
    <xf numFmtId="0" fontId="26" fillId="11" borderId="4" xfId="0" applyFont="1" applyFill="1" applyBorder="1" applyAlignment="1">
      <alignment horizontal="left"/>
    </xf>
    <xf numFmtId="44" fontId="26" fillId="0" borderId="3" xfId="0" applyNumberFormat="1" applyFont="1" applyBorder="1"/>
    <xf numFmtId="4" fontId="3" fillId="0" borderId="3" xfId="0" applyNumberFormat="1" applyFont="1" applyBorder="1"/>
    <xf numFmtId="0" fontId="6" fillId="0" borderId="0" xfId="0" applyFont="1" applyBorder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10" fillId="0" borderId="44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4" fontId="10" fillId="0" borderId="30" xfId="0" applyNumberFormat="1" applyFont="1" applyBorder="1" applyAlignment="1">
      <alignment horizontal="center"/>
    </xf>
    <xf numFmtId="4" fontId="10" fillId="0" borderId="31" xfId="0" applyNumberFormat="1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4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4" fontId="26" fillId="0" borderId="44" xfId="0" applyNumberFormat="1" applyFont="1" applyBorder="1" applyAlignment="1">
      <alignment horizontal="center" wrapText="1"/>
    </xf>
    <xf numFmtId="4" fontId="26" fillId="0" borderId="43" xfId="0" applyNumberFormat="1" applyFont="1" applyBorder="1" applyAlignment="1">
      <alignment horizontal="center" wrapText="1"/>
    </xf>
    <xf numFmtId="4" fontId="26" fillId="0" borderId="45" xfId="0" applyNumberFormat="1" applyFont="1" applyBorder="1" applyAlignment="1">
      <alignment horizontal="center" wrapText="1"/>
    </xf>
    <xf numFmtId="4" fontId="26" fillId="0" borderId="32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0" borderId="34" xfId="0" applyNumberFormat="1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4" fontId="26" fillId="0" borderId="44" xfId="0" applyNumberFormat="1" applyFont="1" applyBorder="1" applyAlignment="1">
      <alignment horizontal="center"/>
    </xf>
    <xf numFmtId="4" fontId="26" fillId="0" borderId="43" xfId="0" applyNumberFormat="1" applyFont="1" applyBorder="1" applyAlignment="1">
      <alignment horizontal="center"/>
    </xf>
    <xf numFmtId="4" fontId="25" fillId="0" borderId="10" xfId="0" applyNumberFormat="1" applyFont="1" applyBorder="1" applyAlignment="1">
      <alignment horizontal="center"/>
    </xf>
    <xf numFmtId="4" fontId="25" fillId="0" borderId="42" xfId="0" applyNumberFormat="1" applyFont="1" applyBorder="1" applyAlignment="1">
      <alignment horizontal="center"/>
    </xf>
    <xf numFmtId="4" fontId="25" fillId="0" borderId="27" xfId="0" applyNumberFormat="1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6" fillId="0" borderId="30" xfId="0" applyNumberFormat="1" applyFont="1" applyBorder="1" applyAlignment="1">
      <alignment horizontal="center"/>
    </xf>
    <xf numFmtId="4" fontId="26" fillId="0" borderId="31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4" fontId="26" fillId="0" borderId="42" xfId="0" applyNumberFormat="1" applyFont="1" applyBorder="1" applyAlignment="1">
      <alignment horizontal="center"/>
    </xf>
    <xf numFmtId="49" fontId="25" fillId="0" borderId="44" xfId="0" applyNumberFormat="1" applyFont="1" applyBorder="1" applyAlignment="1">
      <alignment horizontal="center" vertical="center" textRotation="90" wrapText="1"/>
    </xf>
    <xf numFmtId="0" fontId="25" fillId="0" borderId="43" xfId="0" applyFont="1" applyBorder="1" applyAlignment="1">
      <alignment horizontal="center" vertical="center" textRotation="90" wrapText="1"/>
    </xf>
    <xf numFmtId="4" fontId="25" fillId="0" borderId="44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4" fontId="26" fillId="0" borderId="33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1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6">
    <cellStyle name="Euro" xfId="2"/>
    <cellStyle name="Millares 2" xfId="3"/>
    <cellStyle name="Moneda 2" xfId="4"/>
    <cellStyle name="Normal" xfId="0" builtinId="0"/>
    <cellStyle name="Normal 2" xfId="1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/Desktop/plan%20anual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. COMP. 2020"/>
      <sheetName val="grupo por linea"/>
    </sheetNames>
    <sheetDataSet>
      <sheetData sheetId="0" refreshError="1"/>
      <sheetData sheetId="1" refreshError="1">
        <row r="12">
          <cell r="O12">
            <v>4668</v>
          </cell>
          <cell r="W12">
            <v>471.6</v>
          </cell>
          <cell r="AB12">
            <v>589.20000000000005</v>
          </cell>
          <cell r="AW12">
            <v>10071.6</v>
          </cell>
        </row>
        <row r="13">
          <cell r="AW13">
            <v>192</v>
          </cell>
        </row>
        <row r="22">
          <cell r="O22">
            <v>1621.12</v>
          </cell>
          <cell r="W22">
            <v>2766.34</v>
          </cell>
          <cell r="AB22">
            <v>103.08</v>
          </cell>
          <cell r="AW22">
            <v>15986.41</v>
          </cell>
        </row>
        <row r="56">
          <cell r="O56">
            <v>2613.7199999999998</v>
          </cell>
          <cell r="W56">
            <v>2995.65</v>
          </cell>
          <cell r="AB56">
            <v>503.05999999999995</v>
          </cell>
          <cell r="AW56">
            <v>5581.3540000000012</v>
          </cell>
        </row>
        <row r="58">
          <cell r="O58">
            <v>350</v>
          </cell>
          <cell r="W58">
            <v>2.5499999999999998</v>
          </cell>
          <cell r="AB58">
            <v>0</v>
          </cell>
          <cell r="AW58">
            <v>520</v>
          </cell>
        </row>
        <row r="100">
          <cell r="O100">
            <v>1575.45</v>
          </cell>
          <cell r="W100">
            <v>304.65999999999997</v>
          </cell>
          <cell r="AB100">
            <v>83</v>
          </cell>
          <cell r="AW100">
            <v>12582.61</v>
          </cell>
        </row>
        <row r="107">
          <cell r="AW107">
            <v>50.400000000000006</v>
          </cell>
        </row>
        <row r="147">
          <cell r="O147">
            <v>528.14</v>
          </cell>
          <cell r="W147">
            <v>1182.7200000000003</v>
          </cell>
          <cell r="AB147">
            <v>107.45000000000002</v>
          </cell>
          <cell r="AW147">
            <v>4461.6799999999985</v>
          </cell>
        </row>
        <row r="166">
          <cell r="O166">
            <v>781.75</v>
          </cell>
          <cell r="W166">
            <v>3827.1</v>
          </cell>
          <cell r="AB166">
            <v>1052.25</v>
          </cell>
          <cell r="AW166">
            <v>4619.75</v>
          </cell>
        </row>
        <row r="173">
          <cell r="O173">
            <v>1000</v>
          </cell>
          <cell r="W173">
            <v>0</v>
          </cell>
          <cell r="AB173">
            <v>0</v>
          </cell>
          <cell r="AW173">
            <v>3357.5</v>
          </cell>
        </row>
        <row r="201">
          <cell r="O201">
            <v>190</v>
          </cell>
          <cell r="W201">
            <v>0</v>
          </cell>
          <cell r="AB201">
            <v>0</v>
          </cell>
          <cell r="AW201">
            <v>6414.2000000000007</v>
          </cell>
        </row>
        <row r="211">
          <cell r="O211">
            <v>0</v>
          </cell>
          <cell r="W211">
            <v>0</v>
          </cell>
          <cell r="AB211">
            <v>0</v>
          </cell>
          <cell r="AW211">
            <v>1473.5</v>
          </cell>
        </row>
        <row r="230">
          <cell r="O230">
            <v>36.72</v>
          </cell>
          <cell r="W230">
            <v>50.64</v>
          </cell>
          <cell r="AB230">
            <v>0</v>
          </cell>
          <cell r="AW230">
            <v>5590.88</v>
          </cell>
        </row>
        <row r="233">
          <cell r="O233">
            <v>600</v>
          </cell>
          <cell r="W233">
            <v>2205</v>
          </cell>
          <cell r="AB233">
            <v>1310</v>
          </cell>
          <cell r="AW233">
            <v>2550</v>
          </cell>
        </row>
        <row r="241">
          <cell r="AW241">
            <v>216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1" zoomScale="120" zoomScaleNormal="120" workbookViewId="0">
      <selection activeCell="B4" sqref="B4:F4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86"/>
      <c r="B1" s="571" t="s">
        <v>312</v>
      </c>
      <c r="C1" s="571"/>
      <c r="D1" s="571"/>
      <c r="E1" s="571"/>
      <c r="F1" s="571"/>
      <c r="G1" s="86"/>
    </row>
    <row r="2" spans="1:7" ht="16.5" x14ac:dyDescent="0.3">
      <c r="A2" s="86"/>
      <c r="B2" s="571" t="s">
        <v>325</v>
      </c>
      <c r="C2" s="571"/>
      <c r="D2" s="571"/>
      <c r="E2" s="571"/>
      <c r="F2" s="571"/>
      <c r="G2" s="86"/>
    </row>
    <row r="3" spans="1:7" ht="16.5" x14ac:dyDescent="0.3">
      <c r="A3" s="86"/>
      <c r="B3" s="571" t="s">
        <v>326</v>
      </c>
      <c r="C3" s="571"/>
      <c r="D3" s="571"/>
      <c r="E3" s="571"/>
      <c r="F3" s="571"/>
      <c r="G3" s="86"/>
    </row>
    <row r="4" spans="1:7" ht="17.25" thickBot="1" x14ac:dyDescent="0.35">
      <c r="A4" s="86"/>
      <c r="B4" s="572" t="s">
        <v>698</v>
      </c>
      <c r="C4" s="571"/>
      <c r="D4" s="571"/>
      <c r="E4" s="571"/>
      <c r="F4" s="571"/>
      <c r="G4" s="86"/>
    </row>
    <row r="5" spans="1:7" ht="78" customHeight="1" thickBot="1" x14ac:dyDescent="0.3">
      <c r="A5" s="86"/>
      <c r="B5" s="144" t="s">
        <v>327</v>
      </c>
      <c r="C5" s="145" t="s">
        <v>328</v>
      </c>
      <c r="D5" s="145" t="s">
        <v>329</v>
      </c>
      <c r="E5" s="145" t="s">
        <v>330</v>
      </c>
      <c r="F5" s="146" t="s">
        <v>173</v>
      </c>
      <c r="G5" s="86"/>
    </row>
    <row r="6" spans="1:7" x14ac:dyDescent="0.25">
      <c r="A6" s="86"/>
      <c r="B6" s="164" t="s">
        <v>291</v>
      </c>
      <c r="C6" s="165"/>
      <c r="D6" s="166"/>
      <c r="E6" s="165"/>
      <c r="F6" s="167" t="s">
        <v>292</v>
      </c>
      <c r="G6" s="86"/>
    </row>
    <row r="7" spans="1:7" x14ac:dyDescent="0.25">
      <c r="A7" s="86"/>
      <c r="B7" s="140"/>
      <c r="C7" s="131" t="s">
        <v>293</v>
      </c>
      <c r="D7" s="141"/>
      <c r="E7" s="131"/>
      <c r="F7" s="133" t="s">
        <v>294</v>
      </c>
      <c r="G7" s="86"/>
    </row>
    <row r="8" spans="1:7" x14ac:dyDescent="0.25">
      <c r="A8" s="86"/>
      <c r="B8" s="140"/>
      <c r="C8" s="131"/>
      <c r="D8" s="139" t="s">
        <v>293</v>
      </c>
      <c r="E8" s="131"/>
      <c r="F8" s="133" t="s">
        <v>331</v>
      </c>
      <c r="G8" s="86"/>
    </row>
    <row r="9" spans="1:7" x14ac:dyDescent="0.25">
      <c r="A9" s="86"/>
      <c r="B9" s="140"/>
      <c r="C9" s="131"/>
      <c r="D9" s="141"/>
      <c r="E9" s="138" t="s">
        <v>194</v>
      </c>
      <c r="F9" s="134" t="s">
        <v>348</v>
      </c>
      <c r="G9" s="86"/>
    </row>
    <row r="10" spans="1:7" x14ac:dyDescent="0.25">
      <c r="A10" s="86"/>
      <c r="B10" s="140"/>
      <c r="C10" s="131"/>
      <c r="D10" s="141"/>
      <c r="E10" s="131"/>
      <c r="F10" s="446" t="s">
        <v>347</v>
      </c>
      <c r="G10" s="86"/>
    </row>
    <row r="11" spans="1:7" x14ac:dyDescent="0.25">
      <c r="A11" s="86"/>
      <c r="B11" s="140"/>
      <c r="C11" s="131"/>
      <c r="D11" s="141"/>
      <c r="E11" s="131"/>
      <c r="F11" s="446" t="s">
        <v>597</v>
      </c>
      <c r="G11" s="86"/>
    </row>
    <row r="12" spans="1:7" x14ac:dyDescent="0.25">
      <c r="A12" s="86"/>
      <c r="B12" s="140"/>
      <c r="C12" s="131"/>
      <c r="D12" s="141"/>
      <c r="E12" s="138" t="s">
        <v>195</v>
      </c>
      <c r="F12" s="134" t="s">
        <v>349</v>
      </c>
      <c r="G12" s="86"/>
    </row>
    <row r="13" spans="1:7" x14ac:dyDescent="0.25">
      <c r="A13" s="86"/>
      <c r="B13" s="140"/>
      <c r="C13" s="131"/>
      <c r="D13" s="141"/>
      <c r="E13" s="131"/>
      <c r="F13" s="133" t="s">
        <v>601</v>
      </c>
      <c r="G13" s="86"/>
    </row>
    <row r="14" spans="1:7" ht="15.75" thickBot="1" x14ac:dyDescent="0.3">
      <c r="A14" s="86"/>
      <c r="B14" s="168"/>
      <c r="C14" s="136"/>
      <c r="D14" s="143"/>
      <c r="E14" s="136"/>
      <c r="F14" s="137" t="s">
        <v>602</v>
      </c>
      <c r="G14" s="86"/>
    </row>
    <row r="15" spans="1:7" x14ac:dyDescent="0.25">
      <c r="A15" s="86"/>
      <c r="B15" s="175"/>
      <c r="C15" s="171"/>
      <c r="D15" s="166" t="s">
        <v>332</v>
      </c>
      <c r="E15" s="171" t="s">
        <v>8</v>
      </c>
      <c r="F15" s="176" t="s">
        <v>297</v>
      </c>
      <c r="G15" s="86"/>
    </row>
    <row r="16" spans="1:7" x14ac:dyDescent="0.25">
      <c r="A16" s="86"/>
      <c r="B16" s="140"/>
      <c r="C16" s="141"/>
      <c r="D16" s="141"/>
      <c r="E16" s="139" t="s">
        <v>196</v>
      </c>
      <c r="F16" s="172" t="s">
        <v>341</v>
      </c>
      <c r="G16" s="86"/>
    </row>
    <row r="17" spans="1:7" x14ac:dyDescent="0.25">
      <c r="A17" s="86"/>
      <c r="B17" s="140"/>
      <c r="C17" s="141"/>
      <c r="D17" s="141"/>
      <c r="E17" s="141"/>
      <c r="F17" s="173" t="s">
        <v>333</v>
      </c>
      <c r="G17" s="86"/>
    </row>
    <row r="18" spans="1:7" x14ac:dyDescent="0.25">
      <c r="A18" s="86"/>
      <c r="B18" s="140"/>
      <c r="C18" s="141"/>
      <c r="D18" s="141"/>
      <c r="E18" s="141"/>
      <c r="F18" s="173" t="s">
        <v>342</v>
      </c>
      <c r="G18" s="86"/>
    </row>
    <row r="19" spans="1:7" x14ac:dyDescent="0.25">
      <c r="A19" s="86"/>
      <c r="B19" s="140"/>
      <c r="C19" s="141"/>
      <c r="D19" s="141"/>
      <c r="E19" s="139" t="s">
        <v>343</v>
      </c>
      <c r="F19" s="172" t="s">
        <v>344</v>
      </c>
      <c r="G19" s="86"/>
    </row>
    <row r="20" spans="1:7" x14ac:dyDescent="0.25">
      <c r="A20" s="86"/>
      <c r="B20" s="140"/>
      <c r="C20" s="141"/>
      <c r="D20" s="141"/>
      <c r="E20" s="141"/>
      <c r="F20" s="173" t="s">
        <v>587</v>
      </c>
      <c r="G20" s="86"/>
    </row>
    <row r="21" spans="1:7" x14ac:dyDescent="0.25">
      <c r="A21" s="86"/>
      <c r="B21" s="140"/>
      <c r="C21" s="141"/>
      <c r="D21" s="141"/>
      <c r="E21" s="141"/>
      <c r="F21" s="173" t="s">
        <v>588</v>
      </c>
      <c r="G21" s="86"/>
    </row>
    <row r="22" spans="1:7" x14ac:dyDescent="0.25">
      <c r="A22" s="86"/>
      <c r="B22" s="140"/>
      <c r="C22" s="141"/>
      <c r="D22" s="141"/>
      <c r="E22" s="141"/>
      <c r="F22" s="173" t="s">
        <v>345</v>
      </c>
      <c r="G22" s="86"/>
    </row>
    <row r="23" spans="1:7" x14ac:dyDescent="0.25">
      <c r="A23" s="86"/>
      <c r="B23" s="140"/>
      <c r="C23" s="141"/>
      <c r="D23" s="141"/>
      <c r="E23" s="141"/>
      <c r="F23" s="173" t="s">
        <v>346</v>
      </c>
      <c r="G23" s="86"/>
    </row>
    <row r="24" spans="1:7" ht="15.75" thickBot="1" x14ac:dyDescent="0.3">
      <c r="A24" s="86"/>
      <c r="B24" s="168"/>
      <c r="C24" s="143"/>
      <c r="D24" s="143"/>
      <c r="E24" s="143"/>
      <c r="F24" s="64" t="s">
        <v>620</v>
      </c>
      <c r="G24" s="86"/>
    </row>
    <row r="25" spans="1:7" x14ac:dyDescent="0.25">
      <c r="A25" s="86"/>
      <c r="B25" s="164" t="s">
        <v>334</v>
      </c>
      <c r="C25" s="166" t="s">
        <v>299</v>
      </c>
      <c r="D25" s="166" t="s">
        <v>293</v>
      </c>
      <c r="E25" s="171"/>
      <c r="F25" s="176" t="s">
        <v>335</v>
      </c>
      <c r="G25" s="86"/>
    </row>
    <row r="26" spans="1:7" x14ac:dyDescent="0.25">
      <c r="A26" s="86"/>
      <c r="B26" s="169"/>
      <c r="C26" s="139"/>
      <c r="D26" s="139"/>
      <c r="E26" s="139"/>
      <c r="F26" s="174" t="s">
        <v>298</v>
      </c>
      <c r="G26" s="86"/>
    </row>
    <row r="27" spans="1:7" x14ac:dyDescent="0.25">
      <c r="A27" s="86"/>
      <c r="B27" s="135"/>
      <c r="C27" s="141" t="s">
        <v>299</v>
      </c>
      <c r="D27" s="141"/>
      <c r="E27" s="141"/>
      <c r="F27" s="173" t="s">
        <v>336</v>
      </c>
      <c r="G27" s="86"/>
    </row>
    <row r="28" spans="1:7" ht="15.75" thickBot="1" x14ac:dyDescent="0.3">
      <c r="A28" s="86"/>
      <c r="B28" s="142"/>
      <c r="C28" s="143"/>
      <c r="D28" s="143" t="s">
        <v>332</v>
      </c>
      <c r="E28" s="143"/>
      <c r="F28" s="64" t="s">
        <v>337</v>
      </c>
      <c r="G28" s="86"/>
    </row>
    <row r="29" spans="1:7" x14ac:dyDescent="0.25">
      <c r="A29" s="86"/>
      <c r="B29" s="170"/>
      <c r="C29" s="165"/>
      <c r="D29" s="166"/>
      <c r="E29" s="165"/>
      <c r="F29" s="167" t="s">
        <v>303</v>
      </c>
      <c r="G29" s="86"/>
    </row>
    <row r="30" spans="1:7" x14ac:dyDescent="0.25">
      <c r="A30" s="86"/>
      <c r="B30" s="135"/>
      <c r="C30" s="131" t="s">
        <v>299</v>
      </c>
      <c r="D30" s="141" t="s">
        <v>299</v>
      </c>
      <c r="E30" s="131"/>
      <c r="F30" s="133" t="s">
        <v>338</v>
      </c>
      <c r="G30" s="86"/>
    </row>
    <row r="31" spans="1:7" ht="15.75" thickBot="1" x14ac:dyDescent="0.3">
      <c r="A31" s="86"/>
      <c r="B31" s="135"/>
      <c r="C31" s="131"/>
      <c r="D31" s="141" t="s">
        <v>339</v>
      </c>
      <c r="E31" s="131"/>
      <c r="F31" s="137" t="s">
        <v>340</v>
      </c>
      <c r="G31" s="86"/>
    </row>
    <row r="32" spans="1:7" ht="15.75" thickBot="1" x14ac:dyDescent="0.3">
      <c r="A32" s="86"/>
      <c r="B32" s="135"/>
      <c r="C32" s="131"/>
      <c r="D32" s="141" t="s">
        <v>308</v>
      </c>
      <c r="E32" s="131"/>
      <c r="F32" s="137" t="s">
        <v>589</v>
      </c>
      <c r="G32" s="86"/>
    </row>
    <row r="33" spans="1:7" ht="15.75" thickBot="1" x14ac:dyDescent="0.3">
      <c r="A33" s="86"/>
      <c r="B33" s="142"/>
      <c r="C33" s="136"/>
      <c r="D33" s="143" t="s">
        <v>308</v>
      </c>
      <c r="E33" s="136"/>
      <c r="F33" s="137" t="s">
        <v>590</v>
      </c>
      <c r="G33" s="86"/>
    </row>
    <row r="34" spans="1:7" x14ac:dyDescent="0.25">
      <c r="A34" s="86"/>
      <c r="B34" s="169">
        <v>5</v>
      </c>
      <c r="C34" s="138"/>
      <c r="D34" s="139"/>
      <c r="E34" s="138"/>
      <c r="F34" s="134" t="s">
        <v>307</v>
      </c>
      <c r="G34" s="86"/>
    </row>
    <row r="35" spans="1:7" x14ac:dyDescent="0.25">
      <c r="A35" s="86"/>
      <c r="B35" s="135"/>
      <c r="C35" s="131" t="s">
        <v>339</v>
      </c>
      <c r="D35" s="141"/>
      <c r="E35" s="131"/>
      <c r="F35" s="133" t="s">
        <v>309</v>
      </c>
      <c r="G35" s="86"/>
    </row>
    <row r="36" spans="1:7" ht="15.75" thickBot="1" x14ac:dyDescent="0.3">
      <c r="A36" s="86"/>
      <c r="B36" s="142"/>
      <c r="C36" s="136"/>
      <c r="D36" s="143" t="s">
        <v>293</v>
      </c>
      <c r="E36" s="136"/>
      <c r="F36" s="137" t="s">
        <v>311</v>
      </c>
      <c r="G36" s="86"/>
    </row>
    <row r="37" spans="1:7" x14ac:dyDescent="0.25">
      <c r="A37" s="86"/>
      <c r="B37" s="86"/>
      <c r="C37" s="86"/>
      <c r="D37" s="86"/>
      <c r="E37" s="132"/>
      <c r="F37" s="86"/>
      <c r="G37" s="86"/>
    </row>
    <row r="38" spans="1:7" x14ac:dyDescent="0.25">
      <c r="A38" s="86"/>
      <c r="B38" s="86"/>
      <c r="C38" s="86"/>
      <c r="D38" s="86"/>
      <c r="E38" s="132"/>
      <c r="F38" s="86"/>
      <c r="G38" s="86"/>
    </row>
    <row r="39" spans="1:7" x14ac:dyDescent="0.25">
      <c r="A39" s="86"/>
      <c r="B39" s="86"/>
      <c r="C39" s="86"/>
      <c r="D39" s="86"/>
      <c r="E39" s="132"/>
      <c r="F39" s="86"/>
      <c r="G39" s="86"/>
    </row>
    <row r="40" spans="1:7" x14ac:dyDescent="0.25">
      <c r="A40" s="86"/>
      <c r="B40" s="86"/>
      <c r="C40" s="86"/>
      <c r="D40" s="86"/>
      <c r="E40" s="132"/>
      <c r="F40" s="86"/>
      <c r="G40" s="86"/>
    </row>
    <row r="41" spans="1:7" x14ac:dyDescent="0.25">
      <c r="A41" s="86"/>
      <c r="B41" s="86"/>
      <c r="C41" s="86"/>
      <c r="D41" s="86"/>
      <c r="E41" s="132"/>
      <c r="F41" s="86"/>
      <c r="G41" s="86"/>
    </row>
    <row r="42" spans="1:7" x14ac:dyDescent="0.25">
      <c r="A42" s="86"/>
      <c r="B42" s="86"/>
      <c r="C42" s="86"/>
      <c r="D42" s="86"/>
      <c r="E42" s="132"/>
      <c r="F42" s="86"/>
      <c r="G42" s="86"/>
    </row>
    <row r="43" spans="1:7" x14ac:dyDescent="0.25">
      <c r="A43" s="86"/>
      <c r="B43" s="86"/>
      <c r="C43" s="86"/>
      <c r="D43" s="86"/>
      <c r="E43" s="132"/>
      <c r="F43" s="86"/>
      <c r="G43" s="86"/>
    </row>
    <row r="44" spans="1:7" x14ac:dyDescent="0.25">
      <c r="A44" s="86"/>
      <c r="B44" s="86"/>
      <c r="C44" s="86"/>
      <c r="D44" s="86"/>
      <c r="E44" s="132"/>
      <c r="F44" s="86"/>
      <c r="G44" s="86"/>
    </row>
    <row r="45" spans="1:7" x14ac:dyDescent="0.25">
      <c r="A45" s="86"/>
      <c r="B45" s="86"/>
      <c r="C45" s="86"/>
      <c r="D45" s="86"/>
      <c r="E45" s="132"/>
      <c r="F45" s="86"/>
      <c r="G45" s="86"/>
    </row>
    <row r="46" spans="1:7" x14ac:dyDescent="0.25">
      <c r="A46" s="86"/>
      <c r="B46" s="86"/>
      <c r="C46" s="86"/>
      <c r="D46" s="86"/>
      <c r="E46" s="132"/>
      <c r="F46" s="86"/>
      <c r="G46" s="86"/>
    </row>
    <row r="47" spans="1:7" x14ac:dyDescent="0.25">
      <c r="A47" s="86"/>
      <c r="B47" s="86"/>
      <c r="C47" s="86"/>
      <c r="D47" s="86"/>
      <c r="E47" s="132"/>
      <c r="F47" s="86"/>
      <c r="G47" s="86"/>
    </row>
    <row r="48" spans="1:7" x14ac:dyDescent="0.25">
      <c r="A48" s="86"/>
      <c r="B48" s="86"/>
      <c r="C48" s="86"/>
      <c r="D48" s="86"/>
      <c r="E48" s="132"/>
      <c r="F48" s="86"/>
      <c r="G48" s="86"/>
    </row>
    <row r="49" spans="5:5" x14ac:dyDescent="0.25">
      <c r="E49" s="87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B2" zoomScale="125" zoomScaleNormal="125" workbookViewId="0">
      <pane ySplit="7" topLeftCell="A51" activePane="bottomLeft" state="frozen"/>
      <selection activeCell="A2" sqref="A2"/>
      <selection pane="bottomLeft" activeCell="H85" sqref="H85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572" t="s">
        <v>164</v>
      </c>
      <c r="C1" s="572"/>
      <c r="D1" s="572"/>
      <c r="E1" s="572"/>
      <c r="F1" s="572"/>
      <c r="G1" s="1"/>
    </row>
    <row r="2" spans="1:9" ht="16.5" x14ac:dyDescent="0.3">
      <c r="A2" s="1"/>
      <c r="B2" s="574" t="s">
        <v>165</v>
      </c>
      <c r="C2" s="574"/>
      <c r="D2" s="574"/>
      <c r="E2" s="574"/>
      <c r="F2" s="574"/>
      <c r="G2" s="1"/>
    </row>
    <row r="3" spans="1:9" ht="16.5" x14ac:dyDescent="0.3">
      <c r="A3" s="1"/>
      <c r="B3" s="574" t="s">
        <v>166</v>
      </c>
      <c r="C3" s="574"/>
      <c r="D3" s="574"/>
      <c r="E3" s="574"/>
      <c r="F3" s="574"/>
      <c r="G3" s="1"/>
    </row>
    <row r="4" spans="1:9" ht="16.5" x14ac:dyDescent="0.3">
      <c r="B4" s="1" t="s">
        <v>168</v>
      </c>
      <c r="C4" s="1"/>
      <c r="D4" s="1" t="s">
        <v>169</v>
      </c>
      <c r="E4" s="1"/>
      <c r="F4" s="1"/>
      <c r="G4" s="1"/>
    </row>
    <row r="5" spans="1:9" ht="16.5" x14ac:dyDescent="0.3">
      <c r="B5" s="574" t="s">
        <v>698</v>
      </c>
      <c r="C5" s="574"/>
      <c r="D5" s="574"/>
      <c r="E5" s="574"/>
      <c r="F5" s="574"/>
      <c r="G5" s="1"/>
    </row>
    <row r="6" spans="1:9" ht="17.25" thickBot="1" x14ac:dyDescent="0.35">
      <c r="A6" s="1"/>
      <c r="B6" s="573" t="s">
        <v>167</v>
      </c>
      <c r="C6" s="573"/>
      <c r="D6" s="573"/>
      <c r="E6" s="573"/>
      <c r="F6" s="573"/>
      <c r="G6" s="1"/>
      <c r="H6" s="1"/>
      <c r="I6" s="1"/>
    </row>
    <row r="7" spans="1:9" ht="16.5" x14ac:dyDescent="0.3">
      <c r="A7" s="1"/>
      <c r="B7" s="2"/>
      <c r="C7" s="3"/>
      <c r="D7" s="24"/>
      <c r="E7" s="24"/>
      <c r="F7" s="25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6" t="s">
        <v>1</v>
      </c>
      <c r="G8" s="1"/>
      <c r="H8" s="1"/>
      <c r="I8" s="1"/>
    </row>
    <row r="9" spans="1:9" ht="16.5" x14ac:dyDescent="0.3">
      <c r="A9" s="1"/>
      <c r="B9" s="20">
        <v>11</v>
      </c>
      <c r="C9" s="21" t="s">
        <v>9</v>
      </c>
      <c r="D9" s="22" t="s">
        <v>8</v>
      </c>
      <c r="E9" s="23" t="s">
        <v>8</v>
      </c>
      <c r="F9" s="37">
        <f>SUM(E10)</f>
        <v>555328.64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19">
        <f>SUM(D11:D27)</f>
        <v>555328.64</v>
      </c>
      <c r="F10" s="38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518">
        <v>284066.28000000003</v>
      </c>
      <c r="E11" s="7"/>
      <c r="F11" s="38"/>
      <c r="G11" s="1"/>
      <c r="H11" s="1"/>
      <c r="I11" s="1"/>
    </row>
    <row r="12" spans="1:9" ht="16.5" x14ac:dyDescent="0.3">
      <c r="A12" s="1"/>
      <c r="B12" s="6">
        <v>11802</v>
      </c>
      <c r="C12" s="7" t="s">
        <v>11</v>
      </c>
      <c r="D12" s="482">
        <v>17070.64</v>
      </c>
      <c r="E12" s="7"/>
      <c r="F12" s="38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482">
        <v>142969.92000000001</v>
      </c>
      <c r="E13" s="7"/>
      <c r="F13" s="38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482">
        <v>4863.4799999999996</v>
      </c>
      <c r="E14" s="7"/>
      <c r="F14" s="38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482">
        <v>63821.88</v>
      </c>
      <c r="E15" s="7"/>
      <c r="F15" s="38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482">
        <v>3938.28</v>
      </c>
      <c r="E16" s="7"/>
      <c r="F16" s="38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482">
        <v>219.36</v>
      </c>
      <c r="E17" s="7"/>
      <c r="F17" s="38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482">
        <v>27.48</v>
      </c>
      <c r="E18" s="7"/>
      <c r="F18" s="38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482">
        <v>528</v>
      </c>
      <c r="E19" s="7"/>
      <c r="F19" s="38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482">
        <v>6512.76</v>
      </c>
      <c r="E20" s="7"/>
      <c r="F20" s="38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482">
        <v>6581.96</v>
      </c>
      <c r="E21" s="7"/>
      <c r="F21" s="38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482">
        <v>3085.2</v>
      </c>
      <c r="E22" s="7"/>
      <c r="F22" s="38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482">
        <v>816.12</v>
      </c>
      <c r="E23" s="7"/>
      <c r="F23" s="38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482">
        <v>8258.52</v>
      </c>
      <c r="E24" s="7"/>
      <c r="F24" s="38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482">
        <v>5072.76</v>
      </c>
      <c r="E25" s="7"/>
      <c r="F25" s="38"/>
      <c r="G25" s="1"/>
      <c r="H25" s="1"/>
      <c r="I25" s="1"/>
    </row>
    <row r="26" spans="1:9" ht="16.5" x14ac:dyDescent="0.3">
      <c r="A26" s="1"/>
      <c r="B26" s="471">
        <v>11818</v>
      </c>
      <c r="C26" s="7" t="s">
        <v>25</v>
      </c>
      <c r="D26" s="482">
        <v>2261</v>
      </c>
      <c r="E26" s="7"/>
      <c r="F26" s="38"/>
      <c r="G26" s="1"/>
      <c r="H26" s="1"/>
      <c r="I26" s="1"/>
    </row>
    <row r="27" spans="1:9" ht="16.5" x14ac:dyDescent="0.3">
      <c r="A27" s="1"/>
      <c r="B27" s="471">
        <v>11899</v>
      </c>
      <c r="C27" s="7" t="s">
        <v>26</v>
      </c>
      <c r="D27" s="482">
        <v>5235</v>
      </c>
      <c r="E27" s="7"/>
      <c r="F27" s="38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38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3">
        <f>SUM(E30:E47)</f>
        <v>982474.15999999992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19">
        <f>SUM(D31:D43)</f>
        <v>850797.15999999992</v>
      </c>
      <c r="F30" s="38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482">
        <v>28992</v>
      </c>
      <c r="E31" s="7"/>
      <c r="F31" s="38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482">
        <v>723</v>
      </c>
      <c r="E32" s="7"/>
      <c r="F32" s="38"/>
      <c r="G32" s="1" t="s">
        <v>8</v>
      </c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482">
        <v>57481.68</v>
      </c>
      <c r="E33" s="7"/>
      <c r="F33" s="38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482">
        <v>103125.6</v>
      </c>
      <c r="E34" s="7"/>
      <c r="F34" s="38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/>
      <c r="E35" s="7"/>
      <c r="F35" s="38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482">
        <v>7850</v>
      </c>
      <c r="E36" s="7"/>
      <c r="F36" s="38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482">
        <v>94747.76</v>
      </c>
      <c r="E37" s="7"/>
      <c r="F37" s="38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482">
        <v>81773</v>
      </c>
      <c r="E38" s="7"/>
      <c r="F38" s="38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482">
        <v>130505.16</v>
      </c>
      <c r="E39" s="7"/>
      <c r="F39" s="38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482">
        <v>75096.960000000006</v>
      </c>
      <c r="E40" s="7"/>
      <c r="F40" s="38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482">
        <v>178224</v>
      </c>
      <c r="E41" s="7"/>
      <c r="F41" s="38"/>
      <c r="G41" s="1"/>
      <c r="H41" s="1"/>
      <c r="I41" s="1"/>
    </row>
    <row r="42" spans="1:9" ht="16.5" x14ac:dyDescent="0.3">
      <c r="A42" s="1"/>
      <c r="B42" s="6">
        <v>12119</v>
      </c>
      <c r="C42" s="7" t="s">
        <v>582</v>
      </c>
      <c r="D42" s="482">
        <v>92130</v>
      </c>
      <c r="E42" s="7"/>
      <c r="F42" s="38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482">
        <v>148</v>
      </c>
      <c r="E43" s="7"/>
      <c r="F43" s="38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19">
        <f>SUM(D45:D47)</f>
        <v>131677</v>
      </c>
      <c r="F44" s="38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/>
      <c r="E45" s="7"/>
      <c r="F45" s="38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482">
        <v>128698</v>
      </c>
      <c r="E46" s="7"/>
      <c r="F46" s="38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482">
        <v>2979</v>
      </c>
      <c r="E47" s="7"/>
      <c r="F47" s="38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38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3">
        <f>SUM(E50:E52)</f>
        <v>407824.8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19">
        <f>SUM(D51:D52)</f>
        <v>407824.8</v>
      </c>
      <c r="F50" s="38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482">
        <v>388606.8</v>
      </c>
      <c r="E51" s="7"/>
      <c r="F51" s="38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482">
        <v>19218</v>
      </c>
      <c r="E52" s="7"/>
      <c r="F52" s="38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38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3">
        <f>SUM(E55:E61)</f>
        <v>274022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19">
        <f>SUM(D56:D58)</f>
        <v>28397</v>
      </c>
      <c r="F55" s="38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482">
        <v>13658</v>
      </c>
      <c r="E56" s="7"/>
      <c r="F56" s="38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482">
        <v>551</v>
      </c>
      <c r="E57" s="7"/>
      <c r="F57" s="38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482">
        <v>14188</v>
      </c>
      <c r="E58" s="7"/>
      <c r="F58" s="38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19">
        <f>+D60</f>
        <v>918</v>
      </c>
      <c r="F59" s="38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482">
        <v>918</v>
      </c>
      <c r="E60" s="7"/>
      <c r="F60" s="38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/>
      <c r="E61" s="19">
        <f>SUM(D62:D63)</f>
        <v>244707</v>
      </c>
      <c r="F61" s="38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/>
      <c r="E62" s="7"/>
      <c r="F62" s="38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482">
        <v>244707</v>
      </c>
      <c r="E63" s="7"/>
      <c r="F63" s="38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38"/>
      <c r="G64" s="1"/>
      <c r="H64" s="1"/>
      <c r="I64" s="1"/>
    </row>
    <row r="65" spans="1:10" ht="16.5" x14ac:dyDescent="0.3">
      <c r="A65" s="1"/>
      <c r="B65" s="4">
        <v>16</v>
      </c>
      <c r="C65" s="5" t="s">
        <v>57</v>
      </c>
      <c r="D65" s="17" t="s">
        <v>8</v>
      </c>
      <c r="E65" s="7"/>
      <c r="F65" s="33">
        <f>+E66</f>
        <v>698456.64</v>
      </c>
      <c r="G65" s="1"/>
      <c r="H65" s="15"/>
      <c r="I65" s="1"/>
    </row>
    <row r="66" spans="1:10" ht="16.5" x14ac:dyDescent="0.3">
      <c r="A66" s="1"/>
      <c r="B66" s="4">
        <v>162</v>
      </c>
      <c r="C66" s="5" t="s">
        <v>58</v>
      </c>
      <c r="D66" s="17" t="s">
        <v>8</v>
      </c>
      <c r="E66" s="19">
        <f>+D67</f>
        <v>698456.64</v>
      </c>
      <c r="F66" s="38"/>
      <c r="G66" s="1"/>
      <c r="I66" s="1"/>
    </row>
    <row r="67" spans="1:10" ht="16.5" x14ac:dyDescent="0.3">
      <c r="A67" s="1"/>
      <c r="B67" s="6">
        <v>16201</v>
      </c>
      <c r="C67" s="7" t="s">
        <v>58</v>
      </c>
      <c r="D67" s="503">
        <v>698456.64</v>
      </c>
      <c r="E67" s="7"/>
      <c r="F67" s="38"/>
      <c r="G67" s="1"/>
    </row>
    <row r="68" spans="1:10" ht="16.5" x14ac:dyDescent="0.3">
      <c r="A68" s="1"/>
      <c r="B68" s="6"/>
      <c r="C68" s="7"/>
      <c r="D68" s="18" t="s">
        <v>8</v>
      </c>
      <c r="E68" s="7"/>
      <c r="F68" s="38"/>
      <c r="G68" s="1"/>
    </row>
    <row r="69" spans="1:10" ht="16.5" x14ac:dyDescent="0.3">
      <c r="A69" s="1"/>
      <c r="B69" s="4">
        <v>22</v>
      </c>
      <c r="C69" s="5" t="s">
        <v>6</v>
      </c>
      <c r="D69" s="17" t="s">
        <v>8</v>
      </c>
      <c r="E69" s="5"/>
      <c r="F69" s="33">
        <f>SUM(E70:E73)</f>
        <v>299037.32999999996</v>
      </c>
      <c r="G69" s="1"/>
      <c r="I69" s="1"/>
    </row>
    <row r="70" spans="1:10" ht="16.5" x14ac:dyDescent="0.3">
      <c r="A70" s="1"/>
      <c r="B70" s="4">
        <v>222</v>
      </c>
      <c r="C70" s="5" t="s">
        <v>59</v>
      </c>
      <c r="D70" s="17" t="s">
        <v>8</v>
      </c>
      <c r="E70" s="19">
        <f>SUM(D71:D73)</f>
        <v>299037.32999999996</v>
      </c>
      <c r="F70" s="39"/>
      <c r="G70" s="1"/>
      <c r="I70" s="1"/>
    </row>
    <row r="71" spans="1:10" ht="16.5" x14ac:dyDescent="0.3">
      <c r="A71" s="1"/>
      <c r="B71" s="6">
        <v>22201</v>
      </c>
      <c r="C71" s="7" t="s">
        <v>59</v>
      </c>
      <c r="D71" s="503">
        <v>210033.33</v>
      </c>
      <c r="E71" s="7"/>
      <c r="F71" s="38"/>
      <c r="G71" s="1"/>
      <c r="I71" s="1"/>
    </row>
    <row r="72" spans="1:10" ht="16.5" x14ac:dyDescent="0.3">
      <c r="A72" s="1"/>
      <c r="B72" s="6">
        <v>22202</v>
      </c>
      <c r="C72" s="7" t="s">
        <v>188</v>
      </c>
      <c r="D72" s="18"/>
      <c r="E72" s="7"/>
      <c r="F72" s="38"/>
      <c r="G72" s="1"/>
      <c r="I72" s="1"/>
    </row>
    <row r="73" spans="1:10" ht="16.5" x14ac:dyDescent="0.3">
      <c r="A73" s="1"/>
      <c r="B73" s="6">
        <v>22203</v>
      </c>
      <c r="C73" s="7" t="s">
        <v>613</v>
      </c>
      <c r="D73" s="504">
        <v>89004</v>
      </c>
      <c r="E73" s="28"/>
      <c r="F73" s="38"/>
      <c r="G73" s="1"/>
      <c r="I73" s="1"/>
    </row>
    <row r="74" spans="1:10" ht="16.5" x14ac:dyDescent="0.3">
      <c r="A74" s="1"/>
      <c r="B74" s="4">
        <v>223</v>
      </c>
      <c r="C74" s="5" t="s">
        <v>60</v>
      </c>
      <c r="D74" s="18"/>
      <c r="E74" s="19">
        <f>SUM(D75:D76)</f>
        <v>0</v>
      </c>
      <c r="F74" s="38"/>
      <c r="G74" s="1"/>
      <c r="I74" s="1"/>
      <c r="J74" s="87" t="s">
        <v>8</v>
      </c>
    </row>
    <row r="75" spans="1:10" ht="16.5" x14ac:dyDescent="0.3">
      <c r="A75" s="1"/>
      <c r="B75" s="6">
        <v>22301</v>
      </c>
      <c r="C75" s="7" t="s">
        <v>61</v>
      </c>
      <c r="D75" s="18">
        <v>0</v>
      </c>
      <c r="E75" s="7"/>
      <c r="F75" s="38"/>
      <c r="G75" s="1"/>
      <c r="I75" s="1"/>
    </row>
    <row r="76" spans="1:10" ht="16.5" x14ac:dyDescent="0.3">
      <c r="A76" s="1"/>
      <c r="B76" s="6">
        <v>22303</v>
      </c>
      <c r="C76" s="7" t="s">
        <v>187</v>
      </c>
      <c r="D76" s="18">
        <v>0</v>
      </c>
      <c r="E76" s="7"/>
      <c r="F76" s="38"/>
      <c r="G76" s="1"/>
      <c r="H76" s="15"/>
      <c r="I76" s="1"/>
    </row>
    <row r="77" spans="1:10" ht="16.5" x14ac:dyDescent="0.3">
      <c r="A77" s="1"/>
      <c r="B77" s="4">
        <v>31</v>
      </c>
      <c r="C77" s="5" t="s">
        <v>7</v>
      </c>
      <c r="D77" s="17" t="s">
        <v>8</v>
      </c>
      <c r="E77" s="5"/>
      <c r="F77" s="33">
        <f>+E78</f>
        <v>0</v>
      </c>
      <c r="G77" s="1"/>
      <c r="H77" s="15"/>
      <c r="I77" s="1"/>
    </row>
    <row r="78" spans="1:10" ht="16.5" x14ac:dyDescent="0.3">
      <c r="A78" s="1"/>
      <c r="B78" s="4">
        <v>313</v>
      </c>
      <c r="C78" s="5" t="s">
        <v>62</v>
      </c>
      <c r="D78" s="17" t="s">
        <v>8</v>
      </c>
      <c r="E78" s="19">
        <f>+D79</f>
        <v>0</v>
      </c>
      <c r="F78" s="39"/>
      <c r="G78" s="1"/>
      <c r="H78" s="15"/>
      <c r="I78" s="1"/>
    </row>
    <row r="79" spans="1:10" ht="16.5" x14ac:dyDescent="0.3">
      <c r="A79" s="1"/>
      <c r="B79" s="6">
        <v>31304</v>
      </c>
      <c r="C79" s="7" t="s">
        <v>63</v>
      </c>
      <c r="D79" s="503"/>
      <c r="E79" s="7"/>
      <c r="F79" s="38"/>
      <c r="G79" s="1"/>
      <c r="H79" s="1"/>
      <c r="I79" s="1"/>
    </row>
    <row r="80" spans="1:10" ht="16.5" x14ac:dyDescent="0.3">
      <c r="A80" s="1"/>
      <c r="B80" s="6"/>
      <c r="C80" s="7"/>
      <c r="D80" s="18" t="s">
        <v>8</v>
      </c>
      <c r="E80" s="7"/>
      <c r="F80" s="38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/>
      <c r="E81" s="5"/>
      <c r="F81" s="33">
        <f>+E82+E84</f>
        <v>201759.22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/>
      <c r="E82" s="19">
        <f>+D83</f>
        <v>201759.22</v>
      </c>
      <c r="F82" s="39"/>
      <c r="G82" s="1"/>
      <c r="H82" s="1"/>
      <c r="I82" s="1"/>
    </row>
    <row r="83" spans="1:9" ht="16.5" x14ac:dyDescent="0.3">
      <c r="A83" s="1"/>
      <c r="B83" s="10">
        <v>32102</v>
      </c>
      <c r="C83" s="11" t="s">
        <v>66</v>
      </c>
      <c r="D83" s="505">
        <v>201759.22</v>
      </c>
      <c r="E83" s="32"/>
      <c r="F83" s="473"/>
      <c r="G83" s="1"/>
      <c r="H83" s="1"/>
      <c r="I83" s="1"/>
    </row>
    <row r="84" spans="1:9" ht="16.5" x14ac:dyDescent="0.3">
      <c r="A84" s="1"/>
      <c r="B84" s="474">
        <v>322</v>
      </c>
      <c r="C84" s="475" t="s">
        <v>646</v>
      </c>
      <c r="D84" s="476"/>
      <c r="E84" s="19">
        <f>+D85</f>
        <v>0</v>
      </c>
      <c r="F84" s="19"/>
      <c r="G84" s="1"/>
      <c r="H84" s="1"/>
      <c r="I84" s="1"/>
    </row>
    <row r="85" spans="1:9" ht="17.25" thickBot="1" x14ac:dyDescent="0.35">
      <c r="A85" s="1"/>
      <c r="B85" s="10">
        <v>32201</v>
      </c>
      <c r="C85" s="11" t="s">
        <v>719</v>
      </c>
      <c r="D85" s="505"/>
      <c r="E85" s="11"/>
      <c r="F85" s="40"/>
      <c r="G85" s="1"/>
      <c r="H85" s="1"/>
      <c r="I85" s="1"/>
    </row>
    <row r="86" spans="1:9" ht="17.25" thickBot="1" x14ac:dyDescent="0.35">
      <c r="A86" s="1"/>
      <c r="B86" s="12"/>
      <c r="C86" s="16" t="s">
        <v>67</v>
      </c>
      <c r="D86" s="47">
        <f>SUM(D11:D85)</f>
        <v>3418902.7900000005</v>
      </c>
      <c r="E86" s="47">
        <f>SUM(E10:E85)</f>
        <v>3418902.79</v>
      </c>
      <c r="F86" s="48">
        <f>SUM(F9:F85)</f>
        <v>3418902.79</v>
      </c>
      <c r="G86" s="1"/>
      <c r="H86" s="1"/>
      <c r="I86" s="1"/>
    </row>
    <row r="87" spans="1:9" ht="16.5" x14ac:dyDescent="0.3">
      <c r="A87" s="1"/>
      <c r="B87" s="1"/>
      <c r="C87" s="1"/>
      <c r="D87" s="15" t="s">
        <v>8</v>
      </c>
      <c r="E87" s="1"/>
      <c r="F87" s="1"/>
      <c r="G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6.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6.5" x14ac:dyDescent="0.3">
      <c r="A102" s="1"/>
      <c r="B102" s="1"/>
      <c r="C102" s="1"/>
      <c r="D102" s="1"/>
      <c r="E102" s="1"/>
      <c r="F102" s="1"/>
      <c r="G102" s="1"/>
      <c r="H102" s="1"/>
      <c r="I102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workbookViewId="0">
      <pane ySplit="9" topLeftCell="A66" activePane="bottomLeft" state="frozen"/>
      <selection pane="bottomLeft" activeCell="E88" sqref="E88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7" max="7" width="12.28515625" bestFit="1" customWidth="1"/>
    <col min="8" max="8" width="13.5703125" customWidth="1"/>
  </cols>
  <sheetData>
    <row r="1" spans="1:8" ht="16.5" x14ac:dyDescent="0.3">
      <c r="A1" s="572" t="s">
        <v>164</v>
      </c>
      <c r="B1" s="572"/>
      <c r="C1" s="572"/>
      <c r="D1" s="572"/>
      <c r="E1" s="572"/>
      <c r="F1" s="572"/>
      <c r="G1" s="572"/>
      <c r="H1" s="572"/>
    </row>
    <row r="2" spans="1:8" ht="16.5" x14ac:dyDescent="0.3">
      <c r="A2" s="574" t="s">
        <v>243</v>
      </c>
      <c r="B2" s="574"/>
      <c r="C2" s="574"/>
      <c r="D2" s="574"/>
      <c r="E2" s="574"/>
      <c r="F2" s="574"/>
      <c r="G2" s="574"/>
      <c r="H2" s="574"/>
    </row>
    <row r="3" spans="1:8" ht="16.5" x14ac:dyDescent="0.3">
      <c r="A3" s="574" t="s">
        <v>166</v>
      </c>
      <c r="B3" s="574"/>
      <c r="C3" s="574"/>
      <c r="D3" s="574"/>
      <c r="E3" s="574"/>
      <c r="F3" s="574"/>
      <c r="G3" s="574"/>
      <c r="H3" s="574"/>
    </row>
    <row r="4" spans="1:8" ht="16.5" x14ac:dyDescent="0.3">
      <c r="A4" s="574" t="s">
        <v>367</v>
      </c>
      <c r="B4" s="574"/>
      <c r="C4" s="574"/>
      <c r="D4" s="574"/>
      <c r="E4" s="574"/>
      <c r="F4" s="574"/>
      <c r="G4" s="574"/>
      <c r="H4" s="574"/>
    </row>
    <row r="5" spans="1:8" ht="16.5" x14ac:dyDescent="0.3">
      <c r="A5" s="574" t="s">
        <v>699</v>
      </c>
      <c r="B5" s="574"/>
      <c r="C5" s="574"/>
      <c r="D5" s="574"/>
      <c r="E5" s="574"/>
      <c r="F5" s="574"/>
      <c r="G5" s="574"/>
      <c r="H5" s="574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253" t="s">
        <v>355</v>
      </c>
      <c r="B7" s="254"/>
      <c r="C7" s="254" t="s">
        <v>315</v>
      </c>
      <c r="D7" s="254" t="s">
        <v>201</v>
      </c>
      <c r="E7" s="254"/>
      <c r="F7" s="254"/>
      <c r="G7" s="254"/>
      <c r="H7" s="255"/>
    </row>
    <row r="8" spans="1:8" ht="16.5" x14ac:dyDescent="0.3">
      <c r="A8" s="256" t="s">
        <v>356</v>
      </c>
      <c r="B8" s="188" t="s">
        <v>358</v>
      </c>
      <c r="C8" s="188" t="s">
        <v>359</v>
      </c>
      <c r="D8" s="188" t="s">
        <v>361</v>
      </c>
      <c r="E8" s="188" t="s">
        <v>647</v>
      </c>
      <c r="F8" s="188" t="s">
        <v>363</v>
      </c>
      <c r="G8" s="188" t="s">
        <v>262</v>
      </c>
      <c r="H8" s="257" t="s">
        <v>366</v>
      </c>
    </row>
    <row r="9" spans="1:8" ht="16.5" x14ac:dyDescent="0.3">
      <c r="A9" s="258" t="s">
        <v>357</v>
      </c>
      <c r="B9" s="189"/>
      <c r="C9" s="189" t="s">
        <v>360</v>
      </c>
      <c r="D9" s="189" t="s">
        <v>362</v>
      </c>
      <c r="E9" s="189">
        <v>216</v>
      </c>
      <c r="F9" s="189" t="s">
        <v>365</v>
      </c>
      <c r="G9" s="189"/>
      <c r="H9" s="259"/>
    </row>
    <row r="10" spans="1:8" ht="16.5" x14ac:dyDescent="0.3">
      <c r="A10" s="4">
        <v>11</v>
      </c>
      <c r="B10" s="5" t="s">
        <v>9</v>
      </c>
      <c r="C10" s="19" t="s">
        <v>8</v>
      </c>
      <c r="D10" s="19">
        <f>SUM(D11)</f>
        <v>555328.64</v>
      </c>
      <c r="E10" s="5"/>
      <c r="F10" s="5"/>
      <c r="G10" s="5"/>
      <c r="H10" s="33">
        <f>+H11</f>
        <v>555328.64</v>
      </c>
    </row>
    <row r="11" spans="1:8" ht="16.5" x14ac:dyDescent="0.3">
      <c r="A11" s="4">
        <v>118</v>
      </c>
      <c r="B11" s="5" t="s">
        <v>2</v>
      </c>
      <c r="C11" s="187" t="s">
        <v>8</v>
      </c>
      <c r="D11" s="19">
        <f>SUM(D12:D28)</f>
        <v>555328.64</v>
      </c>
      <c r="E11" s="5"/>
      <c r="F11" s="5"/>
      <c r="G11" s="5"/>
      <c r="H11" s="33">
        <f>SUM(H12:H28)</f>
        <v>555328.64</v>
      </c>
    </row>
    <row r="12" spans="1:8" ht="16.5" x14ac:dyDescent="0.3">
      <c r="A12" s="6">
        <v>11801</v>
      </c>
      <c r="B12" s="7" t="s">
        <v>10</v>
      </c>
      <c r="C12" s="28"/>
      <c r="D12" s="518">
        <v>284066.28000000003</v>
      </c>
      <c r="E12" s="7"/>
      <c r="F12" s="7"/>
      <c r="G12" s="7"/>
      <c r="H12" s="46">
        <f t="shared" ref="H12:H28" si="0">SUM(D12:G12)</f>
        <v>284066.28000000003</v>
      </c>
    </row>
    <row r="13" spans="1:8" ht="16.5" x14ac:dyDescent="0.3">
      <c r="A13" s="6">
        <v>11902</v>
      </c>
      <c r="B13" s="7" t="s">
        <v>11</v>
      </c>
      <c r="C13" s="28"/>
      <c r="D13" s="482">
        <v>17070.64</v>
      </c>
      <c r="E13" s="7"/>
      <c r="F13" s="7"/>
      <c r="G13" s="7"/>
      <c r="H13" s="46">
        <f t="shared" si="0"/>
        <v>17070.64</v>
      </c>
    </row>
    <row r="14" spans="1:8" ht="16.5" x14ac:dyDescent="0.3">
      <c r="A14" s="6">
        <v>11803</v>
      </c>
      <c r="B14" s="7" t="s">
        <v>12</v>
      </c>
      <c r="C14" s="28"/>
      <c r="D14" s="482">
        <v>142969.92000000001</v>
      </c>
      <c r="E14" s="7"/>
      <c r="F14" s="7"/>
      <c r="G14" s="7"/>
      <c r="H14" s="46">
        <f t="shared" si="0"/>
        <v>142969.92000000001</v>
      </c>
    </row>
    <row r="15" spans="1:8" ht="16.5" x14ac:dyDescent="0.3">
      <c r="A15" s="6">
        <v>11804</v>
      </c>
      <c r="B15" s="7" t="s">
        <v>13</v>
      </c>
      <c r="C15" s="28"/>
      <c r="D15" s="482">
        <v>4863.4799999999996</v>
      </c>
      <c r="E15" s="7"/>
      <c r="F15" s="7"/>
      <c r="G15" s="7"/>
      <c r="H15" s="46">
        <f t="shared" si="0"/>
        <v>4863.4799999999996</v>
      </c>
    </row>
    <row r="16" spans="1:8" ht="16.5" x14ac:dyDescent="0.3">
      <c r="A16" s="6">
        <v>11805</v>
      </c>
      <c r="B16" s="7" t="s">
        <v>14</v>
      </c>
      <c r="C16" s="28"/>
      <c r="D16" s="482">
        <v>63821.88</v>
      </c>
      <c r="E16" s="7"/>
      <c r="F16" s="7"/>
      <c r="G16" s="7"/>
      <c r="H16" s="46">
        <f t="shared" si="0"/>
        <v>63821.88</v>
      </c>
    </row>
    <row r="17" spans="1:8" ht="16.5" x14ac:dyDescent="0.3">
      <c r="A17" s="6">
        <v>11806</v>
      </c>
      <c r="B17" s="7" t="s">
        <v>15</v>
      </c>
      <c r="C17" s="28"/>
      <c r="D17" s="482">
        <v>3938.28</v>
      </c>
      <c r="E17" s="7"/>
      <c r="F17" s="7"/>
      <c r="G17" s="7"/>
      <c r="H17" s="46">
        <f t="shared" si="0"/>
        <v>3938.28</v>
      </c>
    </row>
    <row r="18" spans="1:8" ht="16.5" x14ac:dyDescent="0.3">
      <c r="A18" s="6">
        <v>11808</v>
      </c>
      <c r="B18" s="7" t="s">
        <v>16</v>
      </c>
      <c r="C18" s="28"/>
      <c r="D18" s="482">
        <v>219.36</v>
      </c>
      <c r="E18" s="7"/>
      <c r="F18" s="7"/>
      <c r="G18" s="7"/>
      <c r="H18" s="46">
        <f t="shared" si="0"/>
        <v>219.36</v>
      </c>
    </row>
    <row r="19" spans="1:8" ht="16.5" x14ac:dyDescent="0.3">
      <c r="A19" s="6">
        <v>11809</v>
      </c>
      <c r="B19" s="7" t="s">
        <v>17</v>
      </c>
      <c r="C19" s="28"/>
      <c r="D19" s="482">
        <v>27.48</v>
      </c>
      <c r="E19" s="7"/>
      <c r="F19" s="7"/>
      <c r="G19" s="7"/>
      <c r="H19" s="46">
        <f t="shared" si="0"/>
        <v>27.48</v>
      </c>
    </row>
    <row r="20" spans="1:8" ht="16.5" x14ac:dyDescent="0.3">
      <c r="A20" s="6">
        <v>11810</v>
      </c>
      <c r="B20" s="7" t="s">
        <v>18</v>
      </c>
      <c r="C20" s="28"/>
      <c r="D20" s="482">
        <v>528</v>
      </c>
      <c r="E20" s="7"/>
      <c r="F20" s="7"/>
      <c r="G20" s="7"/>
      <c r="H20" s="46">
        <f t="shared" si="0"/>
        <v>528</v>
      </c>
    </row>
    <row r="21" spans="1:8" ht="16.5" x14ac:dyDescent="0.3">
      <c r="A21" s="6">
        <v>11812</v>
      </c>
      <c r="B21" s="7" t="s">
        <v>19</v>
      </c>
      <c r="C21" s="28"/>
      <c r="D21" s="482">
        <v>6512.76</v>
      </c>
      <c r="E21" s="7"/>
      <c r="F21" s="7"/>
      <c r="G21" s="7"/>
      <c r="H21" s="46">
        <f t="shared" si="0"/>
        <v>6512.76</v>
      </c>
    </row>
    <row r="22" spans="1:8" ht="16.5" x14ac:dyDescent="0.3">
      <c r="A22" s="6">
        <v>11813</v>
      </c>
      <c r="B22" s="7" t="s">
        <v>20</v>
      </c>
      <c r="C22" s="28"/>
      <c r="D22" s="482">
        <v>6581.96</v>
      </c>
      <c r="E22" s="7"/>
      <c r="F22" s="7"/>
      <c r="G22" s="7"/>
      <c r="H22" s="46">
        <f t="shared" si="0"/>
        <v>6581.96</v>
      </c>
    </row>
    <row r="23" spans="1:8" ht="16.5" x14ac:dyDescent="0.3">
      <c r="A23" s="6">
        <v>11814</v>
      </c>
      <c r="B23" s="7" t="s">
        <v>21</v>
      </c>
      <c r="C23" s="28"/>
      <c r="D23" s="482">
        <v>3085.2</v>
      </c>
      <c r="E23" s="7"/>
      <c r="F23" s="7"/>
      <c r="G23" s="7"/>
      <c r="H23" s="46">
        <f t="shared" si="0"/>
        <v>3085.2</v>
      </c>
    </row>
    <row r="24" spans="1:8" ht="16.5" x14ac:dyDescent="0.3">
      <c r="A24" s="6">
        <v>11815</v>
      </c>
      <c r="B24" s="7" t="s">
        <v>22</v>
      </c>
      <c r="C24" s="28"/>
      <c r="D24" s="482">
        <v>816.12</v>
      </c>
      <c r="E24" s="7"/>
      <c r="F24" s="7"/>
      <c r="G24" s="7"/>
      <c r="H24" s="46">
        <f t="shared" si="0"/>
        <v>816.12</v>
      </c>
    </row>
    <row r="25" spans="1:8" ht="16.5" x14ac:dyDescent="0.3">
      <c r="A25" s="6">
        <v>11816</v>
      </c>
      <c r="B25" s="7" t="s">
        <v>23</v>
      </c>
      <c r="C25" s="28"/>
      <c r="D25" s="482">
        <v>8258.52</v>
      </c>
      <c r="E25" s="7"/>
      <c r="F25" s="7"/>
      <c r="G25" s="7"/>
      <c r="H25" s="46">
        <f t="shared" si="0"/>
        <v>8258.52</v>
      </c>
    </row>
    <row r="26" spans="1:8" ht="16.5" x14ac:dyDescent="0.3">
      <c r="A26" s="6">
        <v>11817</v>
      </c>
      <c r="B26" s="7" t="s">
        <v>24</v>
      </c>
      <c r="C26" s="28"/>
      <c r="D26" s="482">
        <v>5072.76</v>
      </c>
      <c r="E26" s="7"/>
      <c r="F26" s="7"/>
      <c r="G26" s="7"/>
      <c r="H26" s="46">
        <f t="shared" si="0"/>
        <v>5072.76</v>
      </c>
    </row>
    <row r="27" spans="1:8" ht="16.5" x14ac:dyDescent="0.3">
      <c r="A27" s="6">
        <v>11818</v>
      </c>
      <c r="B27" s="7" t="s">
        <v>25</v>
      </c>
      <c r="C27" s="28"/>
      <c r="D27" s="482">
        <v>2261</v>
      </c>
      <c r="E27" s="7"/>
      <c r="F27" s="7"/>
      <c r="G27" s="7"/>
      <c r="H27" s="46">
        <f t="shared" si="0"/>
        <v>2261</v>
      </c>
    </row>
    <row r="28" spans="1:8" ht="16.5" x14ac:dyDescent="0.3">
      <c r="A28" s="6">
        <v>11899</v>
      </c>
      <c r="B28" s="7" t="s">
        <v>26</v>
      </c>
      <c r="C28" s="28"/>
      <c r="D28" s="482">
        <v>5235</v>
      </c>
      <c r="E28" s="7"/>
      <c r="F28" s="7"/>
      <c r="G28" s="7"/>
      <c r="H28" s="46">
        <f t="shared" si="0"/>
        <v>5235</v>
      </c>
    </row>
    <row r="29" spans="1:8" ht="16.5" x14ac:dyDescent="0.3">
      <c r="A29" s="6"/>
      <c r="B29" s="7"/>
      <c r="C29" s="28"/>
      <c r="D29" s="463"/>
      <c r="E29" s="7"/>
      <c r="F29" s="7"/>
      <c r="G29" s="7"/>
      <c r="H29" s="38"/>
    </row>
    <row r="30" spans="1:8" ht="16.5" x14ac:dyDescent="0.3">
      <c r="A30" s="4">
        <v>12</v>
      </c>
      <c r="B30" s="5" t="s">
        <v>3</v>
      </c>
      <c r="C30" s="187"/>
      <c r="D30" s="33">
        <f>+D31+D45</f>
        <v>982474.15999999992</v>
      </c>
      <c r="E30" s="5"/>
      <c r="F30" s="5"/>
      <c r="G30" s="5"/>
      <c r="H30" s="33">
        <f>+H31+H45</f>
        <v>982474.15999999992</v>
      </c>
    </row>
    <row r="31" spans="1:8" ht="16.5" x14ac:dyDescent="0.3">
      <c r="A31" s="4">
        <v>121</v>
      </c>
      <c r="B31" s="5" t="s">
        <v>27</v>
      </c>
      <c r="C31" s="187"/>
      <c r="D31" s="33">
        <f>SUM(D32:D44)</f>
        <v>850797.15999999992</v>
      </c>
      <c r="E31" s="5"/>
      <c r="F31" s="5"/>
      <c r="G31" s="5"/>
      <c r="H31" s="33">
        <f>SUM(H32:H44)</f>
        <v>850797.15999999992</v>
      </c>
    </row>
    <row r="32" spans="1:8" ht="16.5" x14ac:dyDescent="0.3">
      <c r="A32" s="6">
        <v>12105</v>
      </c>
      <c r="B32" s="7" t="s">
        <v>28</v>
      </c>
      <c r="C32" s="28"/>
      <c r="D32" s="482">
        <v>28992</v>
      </c>
      <c r="E32" s="7"/>
      <c r="F32" s="7"/>
      <c r="G32" s="7"/>
      <c r="H32" s="46">
        <f t="shared" ref="H32:H44" si="1">SUM(D32:G32)</f>
        <v>28992</v>
      </c>
    </row>
    <row r="33" spans="1:8" ht="16.5" x14ac:dyDescent="0.3">
      <c r="A33" s="6">
        <v>12106</v>
      </c>
      <c r="B33" s="7" t="s">
        <v>29</v>
      </c>
      <c r="C33" s="28"/>
      <c r="D33" s="482">
        <v>723</v>
      </c>
      <c r="E33" s="7"/>
      <c r="F33" s="7"/>
      <c r="G33" s="7"/>
      <c r="H33" s="46">
        <f t="shared" si="1"/>
        <v>723</v>
      </c>
    </row>
    <row r="34" spans="1:8" ht="16.5" x14ac:dyDescent="0.3">
      <c r="A34" s="6">
        <v>12108</v>
      </c>
      <c r="B34" s="7" t="s">
        <v>30</v>
      </c>
      <c r="C34" s="28"/>
      <c r="D34" s="482">
        <v>57481.68</v>
      </c>
      <c r="E34" s="7"/>
      <c r="F34" s="7"/>
      <c r="G34" s="7"/>
      <c r="H34" s="46">
        <f t="shared" si="1"/>
        <v>57481.68</v>
      </c>
    </row>
    <row r="35" spans="1:8" ht="16.5" x14ac:dyDescent="0.3">
      <c r="A35" s="6">
        <v>12109</v>
      </c>
      <c r="B35" s="7" t="s">
        <v>31</v>
      </c>
      <c r="C35" s="28"/>
      <c r="D35" s="482">
        <v>103125.6</v>
      </c>
      <c r="E35" s="7"/>
      <c r="F35" s="7"/>
      <c r="G35" s="7"/>
      <c r="H35" s="46">
        <f t="shared" si="1"/>
        <v>103125.6</v>
      </c>
    </row>
    <row r="36" spans="1:8" ht="16.5" x14ac:dyDescent="0.3">
      <c r="A36" s="6">
        <v>12110</v>
      </c>
      <c r="B36" s="7" t="s">
        <v>32</v>
      </c>
      <c r="C36" s="28"/>
      <c r="D36" s="18"/>
      <c r="E36" s="7"/>
      <c r="F36" s="7"/>
      <c r="G36" s="7"/>
      <c r="H36" s="46">
        <f t="shared" si="1"/>
        <v>0</v>
      </c>
    </row>
    <row r="37" spans="1:8" ht="16.5" x14ac:dyDescent="0.3">
      <c r="A37" s="6">
        <v>12111</v>
      </c>
      <c r="B37" s="7" t="s">
        <v>33</v>
      </c>
      <c r="C37" s="28"/>
      <c r="D37" s="482">
        <v>7850</v>
      </c>
      <c r="E37" s="7"/>
      <c r="F37" s="7"/>
      <c r="G37" s="7"/>
      <c r="H37" s="46">
        <f t="shared" si="1"/>
        <v>7850</v>
      </c>
    </row>
    <row r="38" spans="1:8" ht="16.5" x14ac:dyDescent="0.3">
      <c r="A38" s="6">
        <v>12112</v>
      </c>
      <c r="B38" s="7" t="s">
        <v>34</v>
      </c>
      <c r="C38" s="28"/>
      <c r="D38" s="482">
        <v>94747.76</v>
      </c>
      <c r="E38" s="7"/>
      <c r="F38" s="7"/>
      <c r="G38" s="7"/>
      <c r="H38" s="46">
        <f t="shared" si="1"/>
        <v>94747.76</v>
      </c>
    </row>
    <row r="39" spans="1:8" ht="16.5" x14ac:dyDescent="0.3">
      <c r="A39" s="6">
        <v>12114</v>
      </c>
      <c r="B39" s="7" t="s">
        <v>35</v>
      </c>
      <c r="C39" s="28"/>
      <c r="D39" s="482">
        <v>81773</v>
      </c>
      <c r="E39" s="7"/>
      <c r="F39" s="7"/>
      <c r="G39" s="7"/>
      <c r="H39" s="46">
        <f t="shared" si="1"/>
        <v>81773</v>
      </c>
    </row>
    <row r="40" spans="1:8" ht="16.5" x14ac:dyDescent="0.3">
      <c r="A40" s="6">
        <v>12115</v>
      </c>
      <c r="B40" s="7" t="s">
        <v>36</v>
      </c>
      <c r="C40" s="28"/>
      <c r="D40" s="482">
        <v>130505.16</v>
      </c>
      <c r="E40" s="7"/>
      <c r="F40" s="7"/>
      <c r="G40" s="7"/>
      <c r="H40" s="46">
        <f t="shared" si="1"/>
        <v>130505.16</v>
      </c>
    </row>
    <row r="41" spans="1:8" ht="16.5" x14ac:dyDescent="0.3">
      <c r="A41" s="6">
        <v>12117</v>
      </c>
      <c r="B41" s="7" t="s">
        <v>37</v>
      </c>
      <c r="C41" s="28"/>
      <c r="D41" s="482">
        <v>75096.960000000006</v>
      </c>
      <c r="E41" s="7"/>
      <c r="F41" s="7"/>
      <c r="G41" s="7"/>
      <c r="H41" s="46">
        <f t="shared" si="1"/>
        <v>75096.960000000006</v>
      </c>
    </row>
    <row r="42" spans="1:8" ht="16.5" x14ac:dyDescent="0.3">
      <c r="A42" s="6">
        <v>12118</v>
      </c>
      <c r="B42" s="7" t="s">
        <v>38</v>
      </c>
      <c r="C42" s="28"/>
      <c r="D42" s="482">
        <v>178224</v>
      </c>
      <c r="E42" s="7"/>
      <c r="F42" s="7"/>
      <c r="G42" s="7"/>
      <c r="H42" s="46">
        <f t="shared" si="1"/>
        <v>178224</v>
      </c>
    </row>
    <row r="43" spans="1:8" ht="16.5" x14ac:dyDescent="0.3">
      <c r="A43" s="6">
        <v>12119</v>
      </c>
      <c r="B43" s="7" t="s">
        <v>39</v>
      </c>
      <c r="C43" s="28"/>
      <c r="D43" s="482">
        <v>92130</v>
      </c>
      <c r="E43" s="7"/>
      <c r="F43" s="7"/>
      <c r="G43" s="7"/>
      <c r="H43" s="46">
        <f t="shared" si="1"/>
        <v>92130</v>
      </c>
    </row>
    <row r="44" spans="1:8" ht="16.5" x14ac:dyDescent="0.3">
      <c r="A44" s="6">
        <v>12120</v>
      </c>
      <c r="B44" s="7" t="s">
        <v>40</v>
      </c>
      <c r="C44" s="28"/>
      <c r="D44" s="482">
        <v>148</v>
      </c>
      <c r="E44" s="7"/>
      <c r="F44" s="7"/>
      <c r="G44" s="7"/>
      <c r="H44" s="46">
        <f t="shared" si="1"/>
        <v>148</v>
      </c>
    </row>
    <row r="45" spans="1:8" ht="16.5" x14ac:dyDescent="0.3">
      <c r="A45" s="4">
        <v>122</v>
      </c>
      <c r="B45" s="5" t="s">
        <v>41</v>
      </c>
      <c r="C45" s="187"/>
      <c r="D45" s="33">
        <f>SUM(D46:D48)</f>
        <v>131677</v>
      </c>
      <c r="E45" s="5"/>
      <c r="F45" s="5"/>
      <c r="G45" s="5"/>
      <c r="H45" s="33">
        <f>SUM(H46:H48)</f>
        <v>131677</v>
      </c>
    </row>
    <row r="46" spans="1:8" ht="16.5" x14ac:dyDescent="0.3">
      <c r="A46" s="6">
        <v>12208</v>
      </c>
      <c r="B46" s="7" t="s">
        <v>42</v>
      </c>
      <c r="C46" s="28"/>
      <c r="D46" s="463"/>
      <c r="E46" s="7"/>
      <c r="F46" s="7"/>
      <c r="G46" s="7"/>
      <c r="H46" s="46">
        <f>SUM(D46:G46)</f>
        <v>0</v>
      </c>
    </row>
    <row r="47" spans="1:8" ht="16.5" x14ac:dyDescent="0.3">
      <c r="A47" s="6">
        <v>12210</v>
      </c>
      <c r="B47" s="7" t="s">
        <v>43</v>
      </c>
      <c r="C47" s="28"/>
      <c r="D47" s="482">
        <v>128698</v>
      </c>
      <c r="E47" s="7"/>
      <c r="F47" s="7"/>
      <c r="G47" s="7"/>
      <c r="H47" s="46">
        <f>SUM(D47:G47)</f>
        <v>128698</v>
      </c>
    </row>
    <row r="48" spans="1:8" ht="16.5" x14ac:dyDescent="0.3">
      <c r="A48" s="6">
        <v>12211</v>
      </c>
      <c r="B48" s="7" t="s">
        <v>44</v>
      </c>
      <c r="C48" s="28"/>
      <c r="D48" s="482">
        <v>2979</v>
      </c>
      <c r="E48" s="7"/>
      <c r="F48" s="7"/>
      <c r="G48" s="7"/>
      <c r="H48" s="46">
        <f>SUM(D48:G48)</f>
        <v>2979</v>
      </c>
    </row>
    <row r="49" spans="1:8" ht="16.5" x14ac:dyDescent="0.3">
      <c r="A49" s="6"/>
      <c r="B49" s="7"/>
      <c r="C49" s="28"/>
      <c r="D49" s="463"/>
      <c r="E49" s="7"/>
      <c r="F49" s="7"/>
      <c r="G49" s="7"/>
      <c r="H49" s="38"/>
    </row>
    <row r="50" spans="1:8" ht="16.5" x14ac:dyDescent="0.3">
      <c r="A50" s="4">
        <v>14</v>
      </c>
      <c r="B50" s="5" t="s">
        <v>45</v>
      </c>
      <c r="C50" s="187"/>
      <c r="D50" s="33">
        <f>+D51</f>
        <v>407824.8</v>
      </c>
      <c r="E50" s="5"/>
      <c r="F50" s="5"/>
      <c r="G50" s="5"/>
      <c r="H50" s="33">
        <f>+H51</f>
        <v>407824.8</v>
      </c>
    </row>
    <row r="51" spans="1:8" ht="16.5" x14ac:dyDescent="0.3">
      <c r="A51" s="4">
        <v>142</v>
      </c>
      <c r="B51" s="5" t="s">
        <v>46</v>
      </c>
      <c r="C51" s="187"/>
      <c r="D51" s="33">
        <f>SUM(D52:D53)</f>
        <v>407824.8</v>
      </c>
      <c r="E51" s="5"/>
      <c r="F51" s="5"/>
      <c r="G51" s="5"/>
      <c r="H51" s="33">
        <f>SUM(H52:H53)</f>
        <v>407824.8</v>
      </c>
    </row>
    <row r="52" spans="1:8" ht="16.5" x14ac:dyDescent="0.3">
      <c r="A52" s="6">
        <v>14201</v>
      </c>
      <c r="B52" s="7" t="s">
        <v>47</v>
      </c>
      <c r="C52" s="28"/>
      <c r="D52" s="482">
        <v>388606.8</v>
      </c>
      <c r="E52" s="7"/>
      <c r="F52" s="7"/>
      <c r="G52" s="7"/>
      <c r="H52" s="46">
        <f>SUM(D52:G52)</f>
        <v>388606.8</v>
      </c>
    </row>
    <row r="53" spans="1:8" ht="16.5" x14ac:dyDescent="0.3">
      <c r="A53" s="6">
        <v>14299</v>
      </c>
      <c r="B53" s="7" t="s">
        <v>48</v>
      </c>
      <c r="C53" s="28"/>
      <c r="D53" s="482">
        <v>19218</v>
      </c>
      <c r="E53" s="7"/>
      <c r="F53" s="7"/>
      <c r="G53" s="7"/>
      <c r="H53" s="46">
        <f>SUM(D53:G53)</f>
        <v>19218</v>
      </c>
    </row>
    <row r="54" spans="1:8" ht="16.5" x14ac:dyDescent="0.3">
      <c r="A54" s="6"/>
      <c r="B54" s="7"/>
      <c r="C54" s="28"/>
      <c r="D54" s="463"/>
      <c r="E54" s="7"/>
      <c r="F54" s="7"/>
      <c r="G54" s="7"/>
      <c r="H54" s="38"/>
    </row>
    <row r="55" spans="1:8" ht="16.5" x14ac:dyDescent="0.3">
      <c r="A55" s="4">
        <v>15</v>
      </c>
      <c r="B55" s="5" t="s">
        <v>4</v>
      </c>
      <c r="C55" s="187"/>
      <c r="D55" s="33">
        <f>+D56+D60+D62</f>
        <v>274022</v>
      </c>
      <c r="E55" s="5"/>
      <c r="F55" s="5"/>
      <c r="G55" s="5"/>
      <c r="H55" s="33">
        <f>+H56+H60+H62</f>
        <v>274022</v>
      </c>
    </row>
    <row r="56" spans="1:8" ht="16.5" x14ac:dyDescent="0.3">
      <c r="A56" s="4">
        <v>153</v>
      </c>
      <c r="B56" s="5" t="s">
        <v>49</v>
      </c>
      <c r="C56" s="187"/>
      <c r="D56" s="33">
        <f>SUM(D57:D59)</f>
        <v>28397</v>
      </c>
      <c r="E56" s="5"/>
      <c r="F56" s="5"/>
      <c r="G56" s="5"/>
      <c r="H56" s="33">
        <f>SUM(H57:H59)</f>
        <v>28397</v>
      </c>
    </row>
    <row r="57" spans="1:8" ht="16.5" x14ac:dyDescent="0.3">
      <c r="A57" s="6">
        <v>15302</v>
      </c>
      <c r="B57" s="7" t="s">
        <v>50</v>
      </c>
      <c r="C57" s="28"/>
      <c r="D57" s="482">
        <v>13658</v>
      </c>
      <c r="E57" s="7"/>
      <c r="F57" s="7"/>
      <c r="G57" s="7"/>
      <c r="H57" s="46">
        <f>SUM(D57:G57)</f>
        <v>13658</v>
      </c>
    </row>
    <row r="58" spans="1:8" ht="16.5" x14ac:dyDescent="0.3">
      <c r="A58" s="6">
        <v>15312</v>
      </c>
      <c r="B58" s="7" t="s">
        <v>51</v>
      </c>
      <c r="C58" s="28"/>
      <c r="D58" s="482">
        <v>551</v>
      </c>
      <c r="E58" s="7"/>
      <c r="F58" s="7"/>
      <c r="G58" s="7"/>
      <c r="H58" s="46">
        <f>SUM(D58:G58)</f>
        <v>551</v>
      </c>
    </row>
    <row r="59" spans="1:8" ht="16.5" x14ac:dyDescent="0.3">
      <c r="A59" s="6">
        <v>15314</v>
      </c>
      <c r="B59" s="7" t="s">
        <v>52</v>
      </c>
      <c r="C59" s="28"/>
      <c r="D59" s="482">
        <v>14188</v>
      </c>
      <c r="E59" s="7"/>
      <c r="F59" s="7"/>
      <c r="G59" s="7"/>
      <c r="H59" s="46">
        <f>SUM(D59:G59)</f>
        <v>14188</v>
      </c>
    </row>
    <row r="60" spans="1:8" ht="16.5" x14ac:dyDescent="0.3">
      <c r="A60" s="4">
        <v>154</v>
      </c>
      <c r="B60" s="5" t="s">
        <v>53</v>
      </c>
      <c r="C60" s="187"/>
      <c r="D60" s="33">
        <f>+D61</f>
        <v>918</v>
      </c>
      <c r="E60" s="5"/>
      <c r="F60" s="5"/>
      <c r="G60" s="5"/>
      <c r="H60" s="33">
        <f>+H61</f>
        <v>918</v>
      </c>
    </row>
    <row r="61" spans="1:8" ht="16.5" x14ac:dyDescent="0.3">
      <c r="A61" s="6">
        <v>15402</v>
      </c>
      <c r="B61" s="7" t="s">
        <v>54</v>
      </c>
      <c r="C61" s="28"/>
      <c r="D61" s="482">
        <v>918</v>
      </c>
      <c r="E61" s="7"/>
      <c r="F61" s="7"/>
      <c r="G61" s="7"/>
      <c r="H61" s="46">
        <f>SUM(D61:G61)</f>
        <v>918</v>
      </c>
    </row>
    <row r="62" spans="1:8" ht="16.5" x14ac:dyDescent="0.3">
      <c r="A62" s="4">
        <v>157</v>
      </c>
      <c r="B62" s="5" t="s">
        <v>5</v>
      </c>
      <c r="C62" s="187"/>
      <c r="D62" s="33">
        <v>244707</v>
      </c>
      <c r="E62" s="5"/>
      <c r="F62" s="5"/>
      <c r="G62" s="5"/>
      <c r="H62" s="33">
        <v>244707</v>
      </c>
    </row>
    <row r="63" spans="1:8" ht="16.5" x14ac:dyDescent="0.3">
      <c r="A63" s="6">
        <v>15703</v>
      </c>
      <c r="B63" s="7" t="s">
        <v>55</v>
      </c>
      <c r="C63" s="28"/>
      <c r="D63" s="187"/>
      <c r="E63" s="7"/>
      <c r="F63" s="7"/>
      <c r="G63" s="7"/>
      <c r="H63" s="33">
        <f>SUM(D63:G63)</f>
        <v>0</v>
      </c>
    </row>
    <row r="64" spans="1:8" ht="16.5" x14ac:dyDescent="0.3">
      <c r="A64" s="6">
        <v>15799</v>
      </c>
      <c r="B64" s="7" t="s">
        <v>56</v>
      </c>
      <c r="C64" s="28"/>
      <c r="D64" s="482">
        <v>244707</v>
      </c>
      <c r="E64" s="7"/>
      <c r="F64" s="7"/>
      <c r="G64" s="7"/>
      <c r="H64" s="46">
        <f>SUM(D64:G64)</f>
        <v>244707</v>
      </c>
    </row>
    <row r="65" spans="1:8" ht="16.5" x14ac:dyDescent="0.3">
      <c r="A65" s="260"/>
      <c r="B65" s="7"/>
      <c r="C65" s="7"/>
      <c r="D65" s="28"/>
      <c r="E65" s="7"/>
      <c r="F65" s="7"/>
      <c r="G65" s="7"/>
      <c r="H65" s="38"/>
    </row>
    <row r="66" spans="1:8" ht="16.5" x14ac:dyDescent="0.3">
      <c r="A66" s="4">
        <v>16</v>
      </c>
      <c r="B66" s="5" t="s">
        <v>57</v>
      </c>
      <c r="C66" s="187">
        <f>+C67</f>
        <v>698456.64</v>
      </c>
      <c r="D66" s="28"/>
      <c r="E66" s="19"/>
      <c r="F66" s="5"/>
      <c r="G66" s="5"/>
      <c r="H66" s="33">
        <f>+H67</f>
        <v>698456.64</v>
      </c>
    </row>
    <row r="67" spans="1:8" ht="16.5" x14ac:dyDescent="0.3">
      <c r="A67" s="4">
        <v>162</v>
      </c>
      <c r="B67" s="5" t="s">
        <v>58</v>
      </c>
      <c r="C67" s="187">
        <f>SUM(C68)</f>
        <v>698456.64</v>
      </c>
      <c r="D67" s="187">
        <f>SUM(D68)</f>
        <v>0</v>
      </c>
      <c r="E67" s="5"/>
      <c r="F67" s="5"/>
      <c r="G67" s="5"/>
      <c r="H67" s="261">
        <f>SUM(H68)</f>
        <v>698456.64</v>
      </c>
    </row>
    <row r="68" spans="1:8" ht="16.5" x14ac:dyDescent="0.3">
      <c r="A68" s="6">
        <v>16201</v>
      </c>
      <c r="B68" s="7" t="s">
        <v>58</v>
      </c>
      <c r="C68" s="503">
        <v>698456.64</v>
      </c>
      <c r="D68" s="28"/>
      <c r="E68" s="7"/>
      <c r="F68" s="7"/>
      <c r="G68" s="7"/>
      <c r="H68" s="46">
        <f>SUM(C68:G68)</f>
        <v>698456.64</v>
      </c>
    </row>
    <row r="69" spans="1:8" ht="16.5" x14ac:dyDescent="0.3">
      <c r="A69" s="6"/>
      <c r="B69" s="7"/>
      <c r="C69" s="28" t="s">
        <v>8</v>
      </c>
      <c r="D69" s="187">
        <f>SUM(D70:D71)</f>
        <v>0</v>
      </c>
      <c r="E69" s="7"/>
      <c r="F69" s="7"/>
      <c r="G69" s="7"/>
      <c r="H69" s="38"/>
    </row>
    <row r="70" spans="1:8" ht="16.5" x14ac:dyDescent="0.3">
      <c r="A70" s="4">
        <v>22</v>
      </c>
      <c r="B70" s="5" t="s">
        <v>6</v>
      </c>
      <c r="C70" s="187">
        <f>+C71+C74</f>
        <v>210033.33</v>
      </c>
      <c r="D70" s="28"/>
      <c r="E70" s="19"/>
      <c r="F70" s="5"/>
      <c r="G70" s="19">
        <v>42271.8</v>
      </c>
      <c r="H70" s="33">
        <f>+H71+H74</f>
        <v>299037.32999999996</v>
      </c>
    </row>
    <row r="71" spans="1:8" ht="16.5" x14ac:dyDescent="0.3">
      <c r="A71" s="4">
        <v>222</v>
      </c>
      <c r="B71" s="5" t="s">
        <v>59</v>
      </c>
      <c r="C71" s="187">
        <f>SUM(C72:C73)</f>
        <v>210033.33</v>
      </c>
      <c r="D71" s="28"/>
      <c r="E71" s="5"/>
      <c r="F71" s="5"/>
      <c r="G71" s="19">
        <v>42271.8</v>
      </c>
      <c r="H71" s="33">
        <f>SUM(H72:H73)</f>
        <v>299037.32999999996</v>
      </c>
    </row>
    <row r="72" spans="1:8" ht="16.5" x14ac:dyDescent="0.3">
      <c r="A72" s="6">
        <v>22201</v>
      </c>
      <c r="B72" s="7" t="s">
        <v>59</v>
      </c>
      <c r="C72" s="28">
        <v>210033.33</v>
      </c>
      <c r="D72" s="7"/>
      <c r="E72" s="7"/>
      <c r="F72" s="7"/>
      <c r="G72" s="7"/>
      <c r="H72" s="46">
        <f>SUM(C72:G72)</f>
        <v>210033.33</v>
      </c>
    </row>
    <row r="73" spans="1:8" ht="16.5" x14ac:dyDescent="0.3">
      <c r="A73" s="6">
        <v>22202</v>
      </c>
      <c r="B73" s="7" t="s">
        <v>613</v>
      </c>
      <c r="C73" s="504"/>
      <c r="D73" s="7"/>
      <c r="E73" s="7"/>
      <c r="F73" s="7"/>
      <c r="G73" s="504">
        <v>89004</v>
      </c>
      <c r="H73" s="46">
        <f>SUM(C73:G73)</f>
        <v>89004</v>
      </c>
    </row>
    <row r="74" spans="1:8" ht="16.5" x14ac:dyDescent="0.3">
      <c r="A74" s="4">
        <v>223</v>
      </c>
      <c r="B74" s="5" t="s">
        <v>60</v>
      </c>
      <c r="C74" s="187">
        <f>SUM(C75:C76)</f>
        <v>0</v>
      </c>
      <c r="D74" s="19"/>
      <c r="E74" s="5"/>
      <c r="F74" s="5"/>
      <c r="G74" s="5"/>
      <c r="H74" s="33">
        <f>SUM(H75:H76)</f>
        <v>0</v>
      </c>
    </row>
    <row r="75" spans="1:8" ht="16.5" x14ac:dyDescent="0.3">
      <c r="A75" s="6">
        <v>22301</v>
      </c>
      <c r="B75" s="7" t="s">
        <v>61</v>
      </c>
      <c r="C75" s="28">
        <v>0</v>
      </c>
      <c r="D75" s="7"/>
      <c r="E75" s="7"/>
      <c r="F75" s="7"/>
      <c r="G75" s="7"/>
      <c r="H75" s="46">
        <f>SUM(C75:G75)</f>
        <v>0</v>
      </c>
    </row>
    <row r="76" spans="1:8" ht="16.5" x14ac:dyDescent="0.3">
      <c r="A76" s="6">
        <v>22303</v>
      </c>
      <c r="B76" s="7" t="s">
        <v>187</v>
      </c>
      <c r="C76" s="28">
        <v>0</v>
      </c>
      <c r="D76" s="7"/>
      <c r="E76" s="7"/>
      <c r="F76" s="7"/>
      <c r="G76" s="7"/>
      <c r="H76" s="46">
        <f>SUM(C76:G76)</f>
        <v>0</v>
      </c>
    </row>
    <row r="77" spans="1:8" ht="16.5" x14ac:dyDescent="0.3">
      <c r="A77" s="6"/>
      <c r="B77" s="7"/>
      <c r="C77" s="28" t="s">
        <v>8</v>
      </c>
      <c r="D77" s="7"/>
      <c r="E77" s="7"/>
      <c r="F77" s="7"/>
      <c r="G77" s="7"/>
      <c r="H77" s="38"/>
    </row>
    <row r="78" spans="1:8" ht="16.5" x14ac:dyDescent="0.3">
      <c r="A78" s="4">
        <v>31</v>
      </c>
      <c r="B78" s="5" t="s">
        <v>7</v>
      </c>
      <c r="C78" s="187">
        <f>+C79</f>
        <v>0</v>
      </c>
      <c r="D78" s="5"/>
      <c r="E78" s="19"/>
      <c r="F78" s="19">
        <f>+F79</f>
        <v>0</v>
      </c>
      <c r="G78" s="5"/>
      <c r="H78" s="33">
        <f>+H79</f>
        <v>0</v>
      </c>
    </row>
    <row r="79" spans="1:8" ht="16.5" x14ac:dyDescent="0.3">
      <c r="A79" s="4">
        <v>313</v>
      </c>
      <c r="B79" s="5" t="s">
        <v>62</v>
      </c>
      <c r="C79" s="187">
        <f>+C80</f>
        <v>0</v>
      </c>
      <c r="D79" s="19"/>
      <c r="E79" s="5"/>
      <c r="F79" s="19">
        <f>+F80</f>
        <v>0</v>
      </c>
      <c r="G79" s="5"/>
      <c r="H79" s="33">
        <f>+H80</f>
        <v>0</v>
      </c>
    </row>
    <row r="80" spans="1:8" ht="16.5" x14ac:dyDescent="0.3">
      <c r="A80" s="6">
        <v>31304</v>
      </c>
      <c r="B80" s="7" t="s">
        <v>63</v>
      </c>
      <c r="C80" s="28">
        <v>0</v>
      </c>
      <c r="D80" s="7"/>
      <c r="E80" s="7"/>
      <c r="F80" s="28"/>
      <c r="G80" s="7"/>
      <c r="H80" s="46">
        <f>SUM(C80:G80)</f>
        <v>0</v>
      </c>
    </row>
    <row r="81" spans="1:8" ht="16.5" x14ac:dyDescent="0.3">
      <c r="A81" s="6"/>
      <c r="B81" s="7"/>
      <c r="C81" s="28" t="s">
        <v>8</v>
      </c>
      <c r="D81" s="7"/>
      <c r="E81" s="7"/>
      <c r="F81" s="7"/>
      <c r="G81" s="7"/>
      <c r="H81" s="38"/>
    </row>
    <row r="82" spans="1:8" ht="16.5" x14ac:dyDescent="0.3">
      <c r="A82" s="4">
        <v>32</v>
      </c>
      <c r="B82" s="5" t="s">
        <v>64</v>
      </c>
      <c r="C82" s="19">
        <f>+C83+C85</f>
        <v>168544.86</v>
      </c>
      <c r="D82" s="19">
        <f>+D83</f>
        <v>6345.24</v>
      </c>
      <c r="E82" s="19">
        <f>+E83+E85</f>
        <v>18745.72</v>
      </c>
      <c r="F82" s="19">
        <f>+F83</f>
        <v>63.01</v>
      </c>
      <c r="G82" s="19">
        <f>+G83</f>
        <v>8060.39</v>
      </c>
      <c r="H82" s="33">
        <f>+H83+H85</f>
        <v>201759.22</v>
      </c>
    </row>
    <row r="83" spans="1:8" ht="16.5" x14ac:dyDescent="0.3">
      <c r="A83" s="4">
        <v>321</v>
      </c>
      <c r="B83" s="5" t="s">
        <v>65</v>
      </c>
      <c r="C83" s="19">
        <f>SUM(C84)</f>
        <v>168544.86</v>
      </c>
      <c r="D83" s="19">
        <f t="shared" ref="D83:G83" si="2">SUM(D84)</f>
        <v>6345.24</v>
      </c>
      <c r="E83" s="19">
        <f>SUM(E84)</f>
        <v>18745.72</v>
      </c>
      <c r="F83" s="19">
        <f t="shared" si="2"/>
        <v>63.01</v>
      </c>
      <c r="G83" s="19">
        <f t="shared" si="2"/>
        <v>8060.39</v>
      </c>
      <c r="H83" s="33">
        <f>SUM(H84)</f>
        <v>201759.22</v>
      </c>
    </row>
    <row r="84" spans="1:8" ht="17.25" thickBot="1" x14ac:dyDescent="0.35">
      <c r="A84" s="262">
        <v>32102</v>
      </c>
      <c r="B84" s="252" t="s">
        <v>66</v>
      </c>
      <c r="C84" s="263">
        <v>168544.86</v>
      </c>
      <c r="D84" s="263">
        <v>6345.24</v>
      </c>
      <c r="E84" s="263">
        <v>18745.72</v>
      </c>
      <c r="F84" s="263">
        <v>63.01</v>
      </c>
      <c r="G84" s="263">
        <v>8060.39</v>
      </c>
      <c r="H84" s="264">
        <f>SUM(C84:G84)</f>
        <v>201759.22</v>
      </c>
    </row>
    <row r="85" spans="1:8" ht="17.25" thickBot="1" x14ac:dyDescent="0.35">
      <c r="A85" s="477">
        <v>32201</v>
      </c>
      <c r="B85" s="478" t="s">
        <v>720</v>
      </c>
      <c r="C85" s="479"/>
      <c r="D85" s="479"/>
      <c r="E85" s="479"/>
      <c r="F85" s="479"/>
      <c r="G85" s="479"/>
      <c r="H85" s="264">
        <f>SUM(C85:G85)</f>
        <v>0</v>
      </c>
    </row>
    <row r="86" spans="1:8" ht="17.25" thickBot="1" x14ac:dyDescent="0.35">
      <c r="A86" s="12"/>
      <c r="B86" s="27" t="s">
        <v>67</v>
      </c>
      <c r="C86" s="50">
        <f>C66+C82</f>
        <v>867001.5</v>
      </c>
      <c r="D86" s="190">
        <f>D10+D30+D50+D55+D66+D70+D78+D82</f>
        <v>2225994.84</v>
      </c>
      <c r="E86" s="50">
        <f>E82</f>
        <v>18745.72</v>
      </c>
      <c r="F86" s="50">
        <f t="shared" ref="F86" si="3">+F66+F70+F78+F82</f>
        <v>63.01</v>
      </c>
      <c r="G86" s="50">
        <f>+G73+G82</f>
        <v>97064.39</v>
      </c>
      <c r="H86" s="190">
        <f>+H10+H30+H50+H55+H66+H70+H78+H82</f>
        <v>3418902.79</v>
      </c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  <row r="103" spans="1:8" ht="16.5" x14ac:dyDescent="0.3">
      <c r="A103" s="1"/>
      <c r="B103" s="1"/>
      <c r="C103" s="1"/>
      <c r="D103" s="1"/>
      <c r="E103" s="1"/>
      <c r="F103" s="1"/>
      <c r="G103" s="1"/>
      <c r="H103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="85" zoomScaleNormal="85" workbookViewId="0">
      <pane ySplit="4" topLeftCell="A32" activePane="bottomLeft" state="frozen"/>
      <selection pane="bottomLeft" activeCell="V17" sqref="V17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8" max="8" width="12" bestFit="1" customWidth="1"/>
    <col min="9" max="9" width="12" customWidth="1"/>
    <col min="11" max="11" width="12.7109375" customWidth="1"/>
  </cols>
  <sheetData>
    <row r="1" spans="1:14" ht="16.5" x14ac:dyDescent="0.3">
      <c r="A1" s="571" t="s">
        <v>277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</row>
    <row r="2" spans="1:14" ht="17.25" thickBot="1" x14ac:dyDescent="0.35">
      <c r="A2" s="572" t="s">
        <v>700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4" ht="17.25" thickBot="1" x14ac:dyDescent="0.35">
      <c r="A3" s="1"/>
      <c r="B3" s="1"/>
      <c r="C3" s="1"/>
      <c r="D3" s="99"/>
      <c r="E3" s="575" t="s">
        <v>655</v>
      </c>
      <c r="F3" s="576"/>
      <c r="G3" s="576"/>
      <c r="H3" s="577"/>
      <c r="I3" s="100" t="s">
        <v>201</v>
      </c>
      <c r="J3" s="100" t="s">
        <v>316</v>
      </c>
      <c r="K3" s="100" t="s">
        <v>317</v>
      </c>
      <c r="L3" s="100" t="s">
        <v>318</v>
      </c>
    </row>
    <row r="4" spans="1:14" ht="15.75" thickBot="1" x14ac:dyDescent="0.3">
      <c r="A4" s="101" t="s">
        <v>319</v>
      </c>
      <c r="B4" s="102" t="s">
        <v>320</v>
      </c>
      <c r="C4" s="102" t="s">
        <v>321</v>
      </c>
      <c r="D4" s="103" t="s">
        <v>708</v>
      </c>
      <c r="E4" s="104" t="s">
        <v>322</v>
      </c>
      <c r="F4" s="104" t="s">
        <v>323</v>
      </c>
      <c r="G4" s="104" t="s">
        <v>666</v>
      </c>
      <c r="H4" s="105" t="s">
        <v>639</v>
      </c>
      <c r="I4" s="106" t="s">
        <v>324</v>
      </c>
      <c r="J4" s="100">
        <v>216</v>
      </c>
      <c r="K4" s="100" t="s">
        <v>609</v>
      </c>
      <c r="L4" s="100" t="s">
        <v>610</v>
      </c>
    </row>
    <row r="5" spans="1:14" ht="16.5" x14ac:dyDescent="0.3">
      <c r="A5" s="44"/>
      <c r="B5" s="113"/>
      <c r="C5" s="114" t="s">
        <v>313</v>
      </c>
      <c r="D5" s="108"/>
      <c r="E5" s="117"/>
      <c r="F5" s="117"/>
      <c r="G5" s="117"/>
      <c r="H5" s="23"/>
      <c r="I5" s="23"/>
      <c r="J5" s="23"/>
      <c r="K5" s="23"/>
      <c r="L5" s="45"/>
    </row>
    <row r="6" spans="1:14" ht="16.5" x14ac:dyDescent="0.3">
      <c r="A6" s="464">
        <v>1</v>
      </c>
      <c r="B6" s="110">
        <v>440011644</v>
      </c>
      <c r="C6" s="55" t="s">
        <v>651</v>
      </c>
      <c r="D6" s="56"/>
      <c r="E6" s="501"/>
      <c r="F6" s="501"/>
      <c r="G6" s="521">
        <v>360.07</v>
      </c>
      <c r="H6" s="501"/>
      <c r="I6" s="501"/>
      <c r="J6" s="501"/>
      <c r="K6" s="501"/>
      <c r="L6" s="46"/>
    </row>
    <row r="7" spans="1:14" ht="16.5" x14ac:dyDescent="0.3">
      <c r="A7" s="464">
        <v>2</v>
      </c>
      <c r="B7" s="110">
        <v>440011652</v>
      </c>
      <c r="C7" s="55" t="s">
        <v>652</v>
      </c>
      <c r="D7" s="56"/>
      <c r="E7" s="501"/>
      <c r="F7" s="501"/>
      <c r="G7" s="521">
        <v>8228.11</v>
      </c>
      <c r="H7" s="501"/>
      <c r="I7" s="501"/>
      <c r="J7" s="501"/>
      <c r="K7" s="501"/>
      <c r="L7" s="46"/>
    </row>
    <row r="8" spans="1:14" ht="16.5" x14ac:dyDescent="0.3">
      <c r="A8" s="464">
        <v>3</v>
      </c>
      <c r="B8" s="110">
        <v>440011636</v>
      </c>
      <c r="C8" s="55" t="s">
        <v>653</v>
      </c>
      <c r="D8" s="56"/>
      <c r="E8" s="501"/>
      <c r="F8" s="521">
        <v>100</v>
      </c>
      <c r="G8" s="501"/>
      <c r="H8" s="501"/>
      <c r="I8" s="501"/>
      <c r="J8" s="501"/>
      <c r="K8" s="501"/>
      <c r="L8" s="46"/>
    </row>
    <row r="9" spans="1:14" ht="16.5" x14ac:dyDescent="0.3">
      <c r="A9" s="464">
        <v>5</v>
      </c>
      <c r="B9" s="110">
        <v>440008465</v>
      </c>
      <c r="C9" s="55" t="s">
        <v>656</v>
      </c>
      <c r="D9" s="56"/>
      <c r="E9" s="521">
        <v>124.43</v>
      </c>
      <c r="F9" s="501"/>
      <c r="G9" s="501"/>
      <c r="H9" s="501"/>
      <c r="I9" s="501"/>
      <c r="J9" s="501"/>
      <c r="K9" s="501"/>
      <c r="L9" s="46"/>
    </row>
    <row r="10" spans="1:14" ht="16.5" x14ac:dyDescent="0.3">
      <c r="A10" s="464">
        <v>6</v>
      </c>
      <c r="B10" s="110">
        <v>440008473</v>
      </c>
      <c r="C10" s="112" t="s">
        <v>657</v>
      </c>
      <c r="D10" s="107"/>
      <c r="E10" s="501"/>
      <c r="F10" s="521">
        <v>11532.51</v>
      </c>
      <c r="G10" s="501"/>
      <c r="H10" s="501"/>
      <c r="I10" s="501"/>
      <c r="J10" s="501"/>
      <c r="K10" s="501"/>
      <c r="L10" s="46"/>
    </row>
    <row r="11" spans="1:14" ht="16.5" x14ac:dyDescent="0.3">
      <c r="A11" s="464">
        <v>7</v>
      </c>
      <c r="B11" s="110">
        <v>440011911</v>
      </c>
      <c r="C11" s="55" t="s">
        <v>713</v>
      </c>
      <c r="D11" s="56"/>
      <c r="E11" s="501"/>
      <c r="F11" s="501"/>
      <c r="G11" s="521">
        <v>3534.5</v>
      </c>
      <c r="H11" s="501"/>
      <c r="I11" s="501"/>
      <c r="J11" s="501"/>
      <c r="K11" s="501"/>
      <c r="L11" s="46"/>
    </row>
    <row r="12" spans="1:14" ht="16.5" x14ac:dyDescent="0.3">
      <c r="A12" s="464">
        <v>8</v>
      </c>
      <c r="B12" s="110">
        <v>440011920</v>
      </c>
      <c r="C12" s="55" t="s">
        <v>714</v>
      </c>
      <c r="D12" s="56"/>
      <c r="E12" s="501"/>
      <c r="F12" s="501"/>
      <c r="G12" s="521">
        <v>8078.82</v>
      </c>
      <c r="H12" s="501"/>
      <c r="I12" s="501"/>
      <c r="J12" s="501"/>
      <c r="K12" s="501"/>
      <c r="L12" s="46"/>
      <c r="N12" s="569"/>
    </row>
    <row r="13" spans="1:14" ht="16.5" x14ac:dyDescent="0.3">
      <c r="A13" s="464">
        <v>10</v>
      </c>
      <c r="B13" s="110">
        <v>440012055</v>
      </c>
      <c r="C13" s="55" t="s">
        <v>715</v>
      </c>
      <c r="D13" s="107"/>
      <c r="E13" s="501"/>
      <c r="F13" s="501"/>
      <c r="G13" s="521">
        <v>59997.46</v>
      </c>
      <c r="H13" s="501"/>
      <c r="I13" s="501"/>
      <c r="J13" s="501"/>
      <c r="K13" s="501"/>
      <c r="L13" s="46"/>
    </row>
    <row r="14" spans="1:14" ht="16.5" x14ac:dyDescent="0.3">
      <c r="A14" s="464">
        <v>11</v>
      </c>
      <c r="B14" s="110">
        <v>440012004</v>
      </c>
      <c r="C14" s="55" t="s">
        <v>716</v>
      </c>
      <c r="D14" s="56"/>
      <c r="E14" s="501"/>
      <c r="F14" s="501"/>
      <c r="G14" s="501"/>
      <c r="H14" s="501"/>
      <c r="I14" s="501"/>
      <c r="J14" s="521">
        <v>18745.72</v>
      </c>
      <c r="K14" s="501"/>
      <c r="L14" s="46"/>
    </row>
    <row r="15" spans="1:14" ht="16.5" x14ac:dyDescent="0.3">
      <c r="A15" s="464">
        <v>13</v>
      </c>
      <c r="B15" s="110">
        <v>440060974</v>
      </c>
      <c r="C15" s="55" t="s">
        <v>717</v>
      </c>
      <c r="D15" s="56"/>
      <c r="E15" s="501"/>
      <c r="F15" s="501"/>
      <c r="G15" s="521">
        <v>2105.62</v>
      </c>
      <c r="H15" s="501"/>
      <c r="I15" s="501"/>
      <c r="J15" s="501"/>
      <c r="K15" s="501"/>
      <c r="L15" s="46"/>
    </row>
    <row r="16" spans="1:14" ht="16.5" x14ac:dyDescent="0.3">
      <c r="A16" s="464">
        <v>14</v>
      </c>
      <c r="B16" s="110">
        <v>20440033469</v>
      </c>
      <c r="C16" s="55" t="s">
        <v>718</v>
      </c>
      <c r="D16" s="56"/>
      <c r="E16" s="501"/>
      <c r="F16" s="501"/>
      <c r="G16" s="521">
        <v>40000</v>
      </c>
      <c r="H16" s="501"/>
      <c r="I16" s="501"/>
      <c r="J16" s="501"/>
      <c r="K16" s="501"/>
      <c r="L16" s="46"/>
    </row>
    <row r="17" spans="1:12" ht="16.5" x14ac:dyDescent="0.3">
      <c r="A17" s="464">
        <v>15</v>
      </c>
      <c r="B17" s="110"/>
      <c r="C17" s="55"/>
      <c r="D17" s="107"/>
      <c r="E17" s="501"/>
      <c r="F17" s="501"/>
      <c r="G17" s="501"/>
      <c r="H17" s="501"/>
      <c r="I17" s="501"/>
      <c r="J17" s="501"/>
      <c r="K17" s="501"/>
      <c r="L17" s="46"/>
    </row>
    <row r="18" spans="1:12" ht="16.5" x14ac:dyDescent="0.3">
      <c r="A18" s="464">
        <v>16</v>
      </c>
      <c r="B18" s="110">
        <v>440011520</v>
      </c>
      <c r="C18" s="55" t="s">
        <v>654</v>
      </c>
      <c r="D18" s="56"/>
      <c r="E18" s="501"/>
      <c r="F18" s="521">
        <v>88.43</v>
      </c>
      <c r="G18" s="501"/>
      <c r="H18" s="501"/>
      <c r="I18" s="501"/>
      <c r="J18" s="501"/>
      <c r="K18" s="521">
        <v>63.01</v>
      </c>
      <c r="L18" s="46"/>
    </row>
    <row r="19" spans="1:12" ht="16.5" x14ac:dyDescent="0.3">
      <c r="A19" s="464">
        <v>18</v>
      </c>
      <c r="B19" s="110">
        <v>440010494</v>
      </c>
      <c r="C19" s="55" t="s">
        <v>667</v>
      </c>
      <c r="D19" s="56"/>
      <c r="E19" s="501"/>
      <c r="F19" s="521">
        <v>1387.66</v>
      </c>
      <c r="G19" s="501"/>
      <c r="H19" s="501"/>
      <c r="I19" s="501"/>
      <c r="J19" s="501"/>
      <c r="K19" s="501"/>
      <c r="L19" s="46"/>
    </row>
    <row r="20" spans="1:12" ht="16.5" x14ac:dyDescent="0.3">
      <c r="A20" s="464">
        <v>19</v>
      </c>
      <c r="B20" s="110">
        <v>440011059</v>
      </c>
      <c r="C20" s="55" t="s">
        <v>668</v>
      </c>
      <c r="D20" s="56"/>
      <c r="E20" s="501"/>
      <c r="F20" s="521">
        <v>222.66</v>
      </c>
      <c r="G20" s="501"/>
      <c r="H20" s="501"/>
      <c r="I20" s="501"/>
      <c r="J20" s="501"/>
      <c r="K20" s="501"/>
      <c r="L20" s="46"/>
    </row>
    <row r="21" spans="1:12" ht="16.5" x14ac:dyDescent="0.3">
      <c r="A21" s="464">
        <v>20</v>
      </c>
      <c r="B21" s="110">
        <v>440011180</v>
      </c>
      <c r="C21" s="55" t="s">
        <v>669</v>
      </c>
      <c r="D21" s="56"/>
      <c r="E21" s="501"/>
      <c r="F21" s="521">
        <v>1869.82</v>
      </c>
      <c r="G21" s="501"/>
      <c r="H21" s="501"/>
      <c r="I21" s="501"/>
      <c r="J21" s="501"/>
      <c r="K21" s="501"/>
      <c r="L21" s="46"/>
    </row>
    <row r="22" spans="1:12" ht="16.5" x14ac:dyDescent="0.3">
      <c r="A22" s="6"/>
      <c r="B22" s="110">
        <v>440008848</v>
      </c>
      <c r="C22" s="55" t="s">
        <v>670</v>
      </c>
      <c r="D22" s="56"/>
      <c r="E22" s="501"/>
      <c r="F22" s="501"/>
      <c r="G22" s="501"/>
      <c r="H22" s="501"/>
      <c r="I22" s="501">
        <v>70.28</v>
      </c>
      <c r="J22" s="501"/>
      <c r="K22" s="501"/>
      <c r="L22" s="523">
        <v>8060.39</v>
      </c>
    </row>
    <row r="23" spans="1:12" ht="16.5" x14ac:dyDescent="0.3">
      <c r="A23" s="6"/>
      <c r="B23" s="110">
        <v>440011512</v>
      </c>
      <c r="C23" s="55" t="s">
        <v>669</v>
      </c>
      <c r="D23" s="56"/>
      <c r="E23" s="501"/>
      <c r="F23" s="501"/>
      <c r="G23" s="501"/>
      <c r="H23" s="521">
        <v>73.38</v>
      </c>
      <c r="I23" s="521">
        <v>97.46</v>
      </c>
      <c r="J23" s="501"/>
      <c r="K23" s="501"/>
      <c r="L23" s="46"/>
    </row>
    <row r="24" spans="1:12" ht="16.5" x14ac:dyDescent="0.3">
      <c r="A24" s="6">
        <v>17</v>
      </c>
      <c r="B24" s="110">
        <v>440011547</v>
      </c>
      <c r="C24" s="112" t="s">
        <v>671</v>
      </c>
      <c r="D24" s="107"/>
      <c r="E24" s="501"/>
      <c r="F24" s="501"/>
      <c r="G24" s="501"/>
      <c r="H24" s="501"/>
      <c r="I24" s="521">
        <v>97.46</v>
      </c>
      <c r="J24" s="501"/>
      <c r="K24" s="501"/>
      <c r="L24" s="46"/>
    </row>
    <row r="25" spans="1:12" ht="16.5" x14ac:dyDescent="0.3">
      <c r="A25" s="464">
        <v>19</v>
      </c>
      <c r="B25" s="498">
        <v>440011679</v>
      </c>
      <c r="C25" s="499" t="s">
        <v>667</v>
      </c>
      <c r="D25" s="56"/>
      <c r="E25" s="501"/>
      <c r="F25" s="501"/>
      <c r="G25" s="521">
        <v>1749.47</v>
      </c>
      <c r="H25" s="501"/>
      <c r="I25" s="501"/>
      <c r="J25" s="501"/>
      <c r="K25" s="501"/>
      <c r="L25" s="46"/>
    </row>
    <row r="26" spans="1:12" ht="16.5" x14ac:dyDescent="0.3">
      <c r="A26" s="464">
        <v>20</v>
      </c>
      <c r="B26" s="498">
        <v>440011687</v>
      </c>
      <c r="C26" s="499" t="s">
        <v>672</v>
      </c>
      <c r="D26" s="56"/>
      <c r="E26" s="501"/>
      <c r="F26" s="501"/>
      <c r="G26" s="521">
        <v>2549.2399999999998</v>
      </c>
      <c r="H26" s="501"/>
      <c r="I26" s="501"/>
      <c r="J26" s="501"/>
      <c r="K26" s="501"/>
      <c r="L26" s="46"/>
    </row>
    <row r="27" spans="1:12" ht="16.5" x14ac:dyDescent="0.3">
      <c r="A27" s="464"/>
      <c r="B27" s="110">
        <v>440011750</v>
      </c>
      <c r="C27" s="112" t="s">
        <v>673</v>
      </c>
      <c r="D27" s="56"/>
      <c r="E27" s="501"/>
      <c r="F27" s="501"/>
      <c r="G27" s="501">
        <v>0</v>
      </c>
      <c r="H27" s="501"/>
      <c r="I27" s="501"/>
      <c r="J27" s="501"/>
      <c r="K27" s="501"/>
      <c r="L27" s="46"/>
    </row>
    <row r="28" spans="1:12" ht="16.5" x14ac:dyDescent="0.3">
      <c r="A28" s="464">
        <v>21</v>
      </c>
      <c r="B28" s="110">
        <v>440011210</v>
      </c>
      <c r="C28" s="55" t="s">
        <v>674</v>
      </c>
      <c r="D28" s="56"/>
      <c r="E28" s="501"/>
      <c r="F28" s="501"/>
      <c r="G28" s="501"/>
      <c r="H28" s="521">
        <v>43.65</v>
      </c>
      <c r="I28" s="501"/>
      <c r="J28" s="501"/>
      <c r="K28" s="501"/>
      <c r="L28" s="46"/>
    </row>
    <row r="29" spans="1:12" ht="16.5" x14ac:dyDescent="0.3">
      <c r="A29" s="464">
        <v>22</v>
      </c>
      <c r="B29" s="110">
        <v>440011229</v>
      </c>
      <c r="C29" s="55" t="s">
        <v>675</v>
      </c>
      <c r="D29" s="107"/>
      <c r="E29" s="501"/>
      <c r="F29" s="501"/>
      <c r="G29" s="501"/>
      <c r="H29" s="521">
        <v>27.62</v>
      </c>
      <c r="I29" s="501"/>
      <c r="J29" s="501"/>
      <c r="K29" s="501"/>
      <c r="L29" s="46"/>
    </row>
    <row r="30" spans="1:12" ht="16.5" x14ac:dyDescent="0.3">
      <c r="A30" s="464">
        <v>23</v>
      </c>
      <c r="B30" s="110">
        <v>440011237</v>
      </c>
      <c r="C30" s="55" t="s">
        <v>676</v>
      </c>
      <c r="D30" s="500"/>
      <c r="E30" s="501"/>
      <c r="F30" s="501"/>
      <c r="G30" s="501"/>
      <c r="H30" s="521">
        <v>28.31</v>
      </c>
      <c r="I30" s="501"/>
      <c r="J30" s="501"/>
      <c r="K30" s="501"/>
      <c r="L30" s="46"/>
    </row>
    <row r="31" spans="1:12" ht="16.5" x14ac:dyDescent="0.3">
      <c r="A31" s="464">
        <v>24</v>
      </c>
      <c r="B31" s="110"/>
      <c r="C31" s="55"/>
      <c r="D31" s="56"/>
      <c r="E31" s="501"/>
      <c r="F31" s="501"/>
      <c r="G31" s="501"/>
      <c r="H31" s="501"/>
      <c r="I31" s="501"/>
      <c r="J31" s="501"/>
      <c r="K31" s="501"/>
      <c r="L31" s="46"/>
    </row>
    <row r="32" spans="1:12" ht="16.5" x14ac:dyDescent="0.3">
      <c r="A32" s="464">
        <v>25</v>
      </c>
      <c r="B32" s="110"/>
      <c r="C32" s="112"/>
      <c r="D32" s="56"/>
      <c r="E32" s="501"/>
      <c r="F32" s="501"/>
      <c r="G32" s="501"/>
      <c r="H32" s="501"/>
      <c r="I32" s="501"/>
      <c r="J32" s="501"/>
      <c r="K32" s="501"/>
      <c r="L32" s="46"/>
    </row>
    <row r="33" spans="1:12" ht="16.5" x14ac:dyDescent="0.3">
      <c r="A33" s="464">
        <v>26</v>
      </c>
      <c r="B33" s="110"/>
      <c r="C33" s="111" t="s">
        <v>314</v>
      </c>
      <c r="D33" s="107"/>
      <c r="E33" s="501"/>
      <c r="F33" s="501"/>
      <c r="G33" s="501"/>
      <c r="H33" s="501"/>
      <c r="I33" s="501"/>
      <c r="J33" s="501"/>
      <c r="K33" s="501"/>
      <c r="L33" s="46"/>
    </row>
    <row r="34" spans="1:12" ht="16.5" x14ac:dyDescent="0.3">
      <c r="A34" s="464"/>
      <c r="B34" s="498" t="s">
        <v>660</v>
      </c>
      <c r="C34" s="499" t="s">
        <v>658</v>
      </c>
      <c r="D34" s="500"/>
      <c r="E34" s="501"/>
      <c r="F34" s="501"/>
      <c r="G34" s="501"/>
      <c r="H34" s="501"/>
      <c r="I34" s="521">
        <v>6049.41</v>
      </c>
      <c r="J34" s="501"/>
      <c r="K34" s="501"/>
      <c r="L34" s="46"/>
    </row>
    <row r="35" spans="1:12" ht="16.5" x14ac:dyDescent="0.3">
      <c r="A35" s="464"/>
      <c r="B35" s="110" t="s">
        <v>659</v>
      </c>
      <c r="C35" s="55" t="s">
        <v>661</v>
      </c>
      <c r="D35" s="56"/>
      <c r="E35" s="501"/>
      <c r="F35" s="501"/>
      <c r="G35" s="501"/>
      <c r="H35" s="501"/>
      <c r="I35" s="501">
        <v>30.63</v>
      </c>
      <c r="J35" s="501"/>
      <c r="K35" s="501"/>
      <c r="L35" s="46"/>
    </row>
    <row r="36" spans="1:12" ht="16.5" x14ac:dyDescent="0.3">
      <c r="A36" s="464"/>
      <c r="B36" s="110" t="s">
        <v>662</v>
      </c>
      <c r="C36" s="112" t="s">
        <v>663</v>
      </c>
      <c r="D36" s="56"/>
      <c r="E36" s="501"/>
      <c r="F36" s="521">
        <v>249.07</v>
      </c>
      <c r="G36" s="501"/>
      <c r="H36" s="501"/>
      <c r="I36" s="501"/>
      <c r="J36" s="501"/>
      <c r="K36" s="501"/>
      <c r="L36" s="28"/>
    </row>
    <row r="37" spans="1:12" ht="16.5" x14ac:dyDescent="0.3">
      <c r="A37" s="464"/>
      <c r="B37" s="110" t="s">
        <v>709</v>
      </c>
      <c r="C37" s="112" t="s">
        <v>710</v>
      </c>
      <c r="D37" s="56"/>
      <c r="E37" s="501"/>
      <c r="F37" s="521"/>
      <c r="G37" s="521">
        <v>6247.94</v>
      </c>
      <c r="H37" s="501"/>
      <c r="I37" s="501"/>
      <c r="J37" s="501"/>
      <c r="K37" s="501"/>
      <c r="L37" s="28"/>
    </row>
    <row r="38" spans="1:12" ht="16.5" x14ac:dyDescent="0.3">
      <c r="A38" s="464"/>
      <c r="B38" s="110" t="s">
        <v>711</v>
      </c>
      <c r="C38" s="112" t="s">
        <v>712</v>
      </c>
      <c r="D38" s="56"/>
      <c r="E38" s="501"/>
      <c r="F38" s="521"/>
      <c r="G38" s="521">
        <v>6715.79</v>
      </c>
      <c r="H38" s="501"/>
      <c r="I38" s="501"/>
      <c r="J38" s="501"/>
      <c r="K38" s="501"/>
      <c r="L38" s="501"/>
    </row>
    <row r="39" spans="1:12" ht="16.5" x14ac:dyDescent="0.3">
      <c r="A39" s="464"/>
      <c r="B39" s="110" t="s">
        <v>664</v>
      </c>
      <c r="C39" s="112" t="s">
        <v>665</v>
      </c>
      <c r="D39" s="56"/>
      <c r="E39" s="501"/>
      <c r="F39" s="501"/>
      <c r="G39" s="501">
        <v>0</v>
      </c>
      <c r="H39" s="501"/>
      <c r="I39" s="501"/>
      <c r="J39" s="501"/>
      <c r="K39" s="501"/>
      <c r="L39" s="28"/>
    </row>
    <row r="40" spans="1:12" ht="16.5" x14ac:dyDescent="0.3">
      <c r="A40" s="507"/>
      <c r="B40" s="7" t="s">
        <v>679</v>
      </c>
      <c r="C40" s="508" t="s">
        <v>680</v>
      </c>
      <c r="D40" s="55"/>
      <c r="E40" s="520"/>
      <c r="F40" s="519"/>
      <c r="G40" s="522">
        <v>13230.3</v>
      </c>
      <c r="H40" s="519"/>
      <c r="I40" s="519"/>
      <c r="J40" s="519"/>
      <c r="K40" s="519"/>
      <c r="L40" s="506"/>
    </row>
    <row r="41" spans="1:12" ht="17.25" thickBot="1" x14ac:dyDescent="0.35">
      <c r="A41" s="507"/>
      <c r="B41" s="7" t="s">
        <v>677</v>
      </c>
      <c r="C41" s="508" t="s">
        <v>678</v>
      </c>
      <c r="D41" s="107"/>
      <c r="E41" s="519"/>
      <c r="F41" s="519"/>
      <c r="G41" s="522"/>
      <c r="H41" s="519"/>
      <c r="I41" s="519"/>
      <c r="J41" s="519"/>
      <c r="K41" s="519"/>
      <c r="L41" s="465"/>
    </row>
    <row r="42" spans="1:12" ht="17.25" thickBot="1" x14ac:dyDescent="0.35">
      <c r="A42" s="58"/>
      <c r="B42" s="478"/>
      <c r="C42" s="115" t="s">
        <v>1</v>
      </c>
      <c r="D42" s="462">
        <f>SUM(D6:D39)</f>
        <v>0</v>
      </c>
      <c r="E42" s="118">
        <f>SUM(E6:E39)</f>
        <v>124.43</v>
      </c>
      <c r="F42" s="118">
        <f>SUM(F6:F39)</f>
        <v>15450.15</v>
      </c>
      <c r="G42" s="118">
        <f>SUM(G6:G41)</f>
        <v>152797.31999999998</v>
      </c>
      <c r="H42" s="118">
        <f>SUM(H23:H39)</f>
        <v>172.96</v>
      </c>
      <c r="I42" s="118">
        <f>SUM(I6:I39)</f>
        <v>6345.24</v>
      </c>
      <c r="J42" s="516">
        <f>SUM(J6:J39)</f>
        <v>18745.72</v>
      </c>
      <c r="K42" s="118">
        <f>SUM(K6:K39)</f>
        <v>63.01</v>
      </c>
      <c r="L42" s="119">
        <f>SUM(L6:L39)</f>
        <v>8060.39</v>
      </c>
    </row>
    <row r="43" spans="1:12" ht="17.25" thickBot="1" x14ac:dyDescent="0.35">
      <c r="A43" s="1"/>
      <c r="B43" s="1"/>
      <c r="C43" s="1"/>
      <c r="D43" s="99" t="s">
        <v>594</v>
      </c>
      <c r="E43" s="1"/>
      <c r="F43" s="1"/>
      <c r="G43" s="1"/>
      <c r="H43" s="1"/>
      <c r="I43" s="1"/>
      <c r="J43" s="1"/>
      <c r="K43" s="1"/>
      <c r="L43" s="1"/>
    </row>
    <row r="44" spans="1:12" ht="16.5" x14ac:dyDescent="0.3">
      <c r="A44" s="1"/>
      <c r="B44" s="53"/>
      <c r="C44" s="459"/>
      <c r="D44" s="460"/>
      <c r="F44" s="121" t="s">
        <v>315</v>
      </c>
      <c r="G44" s="122">
        <f>+E42+F42+G42+H42</f>
        <v>168544.85999999996</v>
      </c>
      <c r="H44" s="98"/>
      <c r="I44" s="15"/>
      <c r="J44" s="1"/>
      <c r="K44" s="1"/>
      <c r="L44" s="1"/>
    </row>
    <row r="45" spans="1:12" ht="16.5" x14ac:dyDescent="0.3">
      <c r="A45" s="1"/>
      <c r="B45" s="53"/>
      <c r="C45" s="459"/>
      <c r="D45" s="54"/>
      <c r="F45" s="123" t="s">
        <v>201</v>
      </c>
      <c r="G45" s="109">
        <f>+I42</f>
        <v>6345.24</v>
      </c>
      <c r="H45" s="98"/>
      <c r="I45" s="15"/>
      <c r="J45" s="1"/>
      <c r="K45" s="1"/>
      <c r="L45" s="1"/>
    </row>
    <row r="46" spans="1:12" ht="17.25" thickBot="1" x14ac:dyDescent="0.35">
      <c r="A46" s="1"/>
      <c r="B46" s="53"/>
      <c r="C46" s="459"/>
      <c r="D46" s="126"/>
      <c r="F46" s="123" t="s">
        <v>316</v>
      </c>
      <c r="G46" s="109">
        <f>+J42</f>
        <v>18745.72</v>
      </c>
      <c r="H46" s="98"/>
      <c r="I46" s="15"/>
      <c r="J46" s="1"/>
      <c r="K46" s="1"/>
      <c r="L46" s="1"/>
    </row>
    <row r="47" spans="1:12" ht="17.25" thickBot="1" x14ac:dyDescent="0.35">
      <c r="A47" s="1"/>
      <c r="B47" s="53"/>
      <c r="C47" s="53"/>
      <c r="D47" s="461">
        <f>SUM(D44:D46)</f>
        <v>0</v>
      </c>
      <c r="F47" s="123" t="s">
        <v>317</v>
      </c>
      <c r="G47" s="109">
        <f>+K42</f>
        <v>63.01</v>
      </c>
      <c r="H47" s="98"/>
      <c r="I47" s="15"/>
      <c r="J47" s="1"/>
      <c r="K47" s="1"/>
      <c r="L47" s="1"/>
    </row>
    <row r="48" spans="1:12" ht="18" thickTop="1" thickBot="1" x14ac:dyDescent="0.35">
      <c r="A48" s="1"/>
      <c r="B48" s="1"/>
      <c r="C48" s="1"/>
      <c r="D48" s="99"/>
      <c r="F48" s="124" t="s">
        <v>318</v>
      </c>
      <c r="G48" s="125">
        <f>+L42</f>
        <v>8060.39</v>
      </c>
      <c r="H48" s="98"/>
      <c r="I48" s="97"/>
      <c r="J48" s="1"/>
      <c r="K48" s="1"/>
      <c r="L48" s="1"/>
    </row>
    <row r="49" spans="1:12" ht="17.25" thickBot="1" x14ac:dyDescent="0.35">
      <c r="A49" s="1"/>
      <c r="B49" s="1"/>
      <c r="C49" s="1"/>
      <c r="D49" s="99"/>
      <c r="F49" s="120" t="s">
        <v>1</v>
      </c>
      <c r="G49" s="116">
        <f>SUM(G44:G48)</f>
        <v>201759.21999999997</v>
      </c>
      <c r="H49" s="1"/>
      <c r="I49" s="15"/>
      <c r="J49" s="1"/>
      <c r="K49" s="1"/>
      <c r="L49" s="1"/>
    </row>
    <row r="50" spans="1:12" x14ac:dyDescent="0.25">
      <c r="D50" s="57"/>
    </row>
  </sheetData>
  <mergeCells count="3">
    <mergeCell ref="E3:H3"/>
    <mergeCell ref="A1:L1"/>
    <mergeCell ref="A2:L2"/>
  </mergeCells>
  <phoneticPr fontId="31" type="noConversion"/>
  <pageMargins left="0.70866141732283472" right="0.70866141732283472" top="0.54" bottom="0.47" header="0.31496062992125984" footer="0.31496062992125984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zoomScale="120" zoomScaleNormal="120" workbookViewId="0">
      <pane ySplit="7" topLeftCell="A88" activePane="bottomLeft" state="frozen"/>
      <selection pane="bottomLeft" activeCell="C64" sqref="C64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580" t="s">
        <v>242</v>
      </c>
      <c r="B1" s="580"/>
      <c r="C1" s="580"/>
      <c r="D1" s="580"/>
      <c r="E1" s="580"/>
      <c r="F1" s="86"/>
    </row>
    <row r="2" spans="1:6" x14ac:dyDescent="0.25">
      <c r="A2" s="580" t="s">
        <v>190</v>
      </c>
      <c r="B2" s="580"/>
      <c r="C2" s="580"/>
      <c r="D2" s="580"/>
      <c r="E2" s="580"/>
      <c r="F2" s="86"/>
    </row>
    <row r="3" spans="1:6" x14ac:dyDescent="0.25">
      <c r="A3" s="580" t="s">
        <v>243</v>
      </c>
      <c r="B3" s="580"/>
      <c r="C3" s="580"/>
      <c r="D3" s="580"/>
      <c r="E3" s="580"/>
      <c r="F3" s="86"/>
    </row>
    <row r="4" spans="1:6" ht="15.75" thickBot="1" x14ac:dyDescent="0.3">
      <c r="A4" s="581" t="s">
        <v>192</v>
      </c>
      <c r="B4" s="581"/>
      <c r="C4" s="581"/>
      <c r="D4" s="581"/>
      <c r="E4" s="581"/>
      <c r="F4" s="86"/>
    </row>
    <row r="5" spans="1:6" ht="15.75" thickBot="1" x14ac:dyDescent="0.3">
      <c r="A5" s="191"/>
      <c r="B5" s="192"/>
      <c r="C5" s="582" t="s">
        <v>682</v>
      </c>
      <c r="D5" s="583"/>
      <c r="E5" s="584"/>
      <c r="F5" s="86"/>
    </row>
    <row r="6" spans="1:6" x14ac:dyDescent="0.25">
      <c r="A6" s="200" t="s">
        <v>198</v>
      </c>
      <c r="B6" s="194"/>
      <c r="C6" s="578" t="s">
        <v>368</v>
      </c>
      <c r="D6" s="578" t="s">
        <v>369</v>
      </c>
      <c r="E6" s="578" t="s">
        <v>244</v>
      </c>
      <c r="F6" s="86"/>
    </row>
    <row r="7" spans="1:6" ht="38.25" customHeight="1" thickBot="1" x14ac:dyDescent="0.3">
      <c r="A7" s="200"/>
      <c r="B7" s="195" t="s">
        <v>173</v>
      </c>
      <c r="C7" s="585"/>
      <c r="D7" s="579"/>
      <c r="E7" s="579"/>
      <c r="F7" s="86"/>
    </row>
    <row r="8" spans="1:6" x14ac:dyDescent="0.25">
      <c r="A8" s="201">
        <v>54</v>
      </c>
      <c r="B8" s="181" t="s">
        <v>88</v>
      </c>
      <c r="C8" s="178">
        <f>+C9+C29+C35+C51+C56</f>
        <v>408000</v>
      </c>
      <c r="D8" s="178">
        <f>+D9+D29+D35+D51+D56</f>
        <v>0</v>
      </c>
      <c r="E8" s="185">
        <f t="shared" ref="E8:E34" si="0">+C8+D8</f>
        <v>408000</v>
      </c>
      <c r="F8" s="86"/>
    </row>
    <row r="9" spans="1:6" x14ac:dyDescent="0.25">
      <c r="A9" s="202">
        <v>541</v>
      </c>
      <c r="B9" s="128" t="s">
        <v>89</v>
      </c>
      <c r="C9" s="179">
        <v>0</v>
      </c>
      <c r="D9" s="179">
        <f>SUM(D10:D28)</f>
        <v>0</v>
      </c>
      <c r="E9" s="186">
        <f t="shared" si="0"/>
        <v>0</v>
      </c>
      <c r="F9" s="86"/>
    </row>
    <row r="10" spans="1:6" x14ac:dyDescent="0.25">
      <c r="A10" s="203">
        <v>54101</v>
      </c>
      <c r="B10" s="78" t="s">
        <v>202</v>
      </c>
      <c r="C10" s="79"/>
      <c r="D10" s="79">
        <v>0</v>
      </c>
      <c r="E10" s="204">
        <f t="shared" si="0"/>
        <v>0</v>
      </c>
      <c r="F10" s="86"/>
    </row>
    <row r="11" spans="1:6" x14ac:dyDescent="0.25">
      <c r="A11" s="203">
        <v>54103</v>
      </c>
      <c r="B11" s="78" t="s">
        <v>203</v>
      </c>
      <c r="C11" s="79"/>
      <c r="D11" s="79">
        <f>SUM([1]Egresos_CR!F13:N13)*[1]Egresos_CR!$I$106</f>
        <v>0</v>
      </c>
      <c r="E11" s="204">
        <f t="shared" si="0"/>
        <v>0</v>
      </c>
      <c r="F11" s="86"/>
    </row>
    <row r="12" spans="1:6" x14ac:dyDescent="0.25">
      <c r="A12" s="203">
        <v>54104</v>
      </c>
      <c r="B12" s="78" t="s">
        <v>91</v>
      </c>
      <c r="C12" s="79"/>
      <c r="D12" s="79">
        <v>0</v>
      </c>
      <c r="E12" s="204">
        <f t="shared" si="0"/>
        <v>0</v>
      </c>
      <c r="F12" s="86"/>
    </row>
    <row r="13" spans="1:6" x14ac:dyDescent="0.25">
      <c r="A13" s="203">
        <v>54105</v>
      </c>
      <c r="B13" s="78" t="s">
        <v>204</v>
      </c>
      <c r="C13" s="79"/>
      <c r="D13" s="79">
        <v>0</v>
      </c>
      <c r="E13" s="204">
        <f t="shared" si="0"/>
        <v>0</v>
      </c>
      <c r="F13" s="86"/>
    </row>
    <row r="14" spans="1:6" x14ac:dyDescent="0.25">
      <c r="A14" s="203">
        <v>54106</v>
      </c>
      <c r="B14" s="78" t="s">
        <v>93</v>
      </c>
      <c r="C14" s="79"/>
      <c r="D14" s="79">
        <v>0</v>
      </c>
      <c r="E14" s="204">
        <f t="shared" si="0"/>
        <v>0</v>
      </c>
      <c r="F14" s="86"/>
    </row>
    <row r="15" spans="1:6" x14ac:dyDescent="0.25">
      <c r="A15" s="203">
        <v>54107</v>
      </c>
      <c r="B15" s="78" t="s">
        <v>94</v>
      </c>
      <c r="C15" s="79"/>
      <c r="D15" s="79">
        <v>0</v>
      </c>
      <c r="E15" s="204">
        <f t="shared" si="0"/>
        <v>0</v>
      </c>
      <c r="F15" s="86"/>
    </row>
    <row r="16" spans="1:6" x14ac:dyDescent="0.25">
      <c r="A16" s="203">
        <v>54108</v>
      </c>
      <c r="B16" s="78" t="s">
        <v>95</v>
      </c>
      <c r="C16" s="79"/>
      <c r="D16" s="79">
        <f>SUM([1]Egresos_CR!F18:N18)*[1]Egresos_CR!$I$106</f>
        <v>0</v>
      </c>
      <c r="E16" s="204">
        <f t="shared" si="0"/>
        <v>0</v>
      </c>
      <c r="F16" s="86"/>
    </row>
    <row r="17" spans="1:6" x14ac:dyDescent="0.25">
      <c r="A17" s="203">
        <v>54109</v>
      </c>
      <c r="B17" s="78" t="s">
        <v>96</v>
      </c>
      <c r="C17" s="79"/>
      <c r="D17" s="79">
        <v>0</v>
      </c>
      <c r="E17" s="204">
        <f t="shared" si="0"/>
        <v>0</v>
      </c>
      <c r="F17" s="86"/>
    </row>
    <row r="18" spans="1:6" x14ac:dyDescent="0.25">
      <c r="A18" s="203">
        <v>54110</v>
      </c>
      <c r="B18" s="78" t="s">
        <v>97</v>
      </c>
      <c r="C18" s="79"/>
      <c r="D18" s="79">
        <v>0</v>
      </c>
      <c r="E18" s="204">
        <f t="shared" si="0"/>
        <v>0</v>
      </c>
      <c r="F18" s="86"/>
    </row>
    <row r="19" spans="1:6" x14ac:dyDescent="0.25">
      <c r="A19" s="203">
        <v>54111</v>
      </c>
      <c r="B19" s="78" t="s">
        <v>205</v>
      </c>
      <c r="C19" s="79"/>
      <c r="D19" s="79">
        <v>0</v>
      </c>
      <c r="E19" s="204">
        <f t="shared" si="0"/>
        <v>0</v>
      </c>
      <c r="F19" s="86"/>
    </row>
    <row r="20" spans="1:6" x14ac:dyDescent="0.25">
      <c r="A20" s="203">
        <v>54112</v>
      </c>
      <c r="B20" s="78" t="s">
        <v>206</v>
      </c>
      <c r="C20" s="79"/>
      <c r="D20" s="79">
        <v>0</v>
      </c>
      <c r="E20" s="204">
        <f t="shared" si="0"/>
        <v>0</v>
      </c>
      <c r="F20" s="86"/>
    </row>
    <row r="21" spans="1:6" x14ac:dyDescent="0.25">
      <c r="A21" s="203">
        <v>54114</v>
      </c>
      <c r="B21" s="78" t="s">
        <v>100</v>
      </c>
      <c r="C21" s="79"/>
      <c r="D21" s="79">
        <v>0</v>
      </c>
      <c r="E21" s="204">
        <f t="shared" si="0"/>
        <v>0</v>
      </c>
      <c r="F21" s="86"/>
    </row>
    <row r="22" spans="1:6" x14ac:dyDescent="0.25">
      <c r="A22" s="203">
        <v>54115</v>
      </c>
      <c r="B22" s="78" t="s">
        <v>101</v>
      </c>
      <c r="C22" s="79"/>
      <c r="D22" s="79">
        <v>0</v>
      </c>
      <c r="E22" s="204">
        <f t="shared" si="0"/>
        <v>0</v>
      </c>
      <c r="F22" s="86"/>
    </row>
    <row r="23" spans="1:6" x14ac:dyDescent="0.25">
      <c r="A23" s="203">
        <v>54116</v>
      </c>
      <c r="B23" s="78" t="s">
        <v>207</v>
      </c>
      <c r="C23" s="79"/>
      <c r="D23" s="79">
        <v>0</v>
      </c>
      <c r="E23" s="204">
        <f t="shared" si="0"/>
        <v>0</v>
      </c>
      <c r="F23" s="86"/>
    </row>
    <row r="24" spans="1:6" x14ac:dyDescent="0.25">
      <c r="A24" s="203">
        <v>54117</v>
      </c>
      <c r="B24" s="78" t="s">
        <v>102</v>
      </c>
      <c r="C24" s="79"/>
      <c r="D24" s="79">
        <v>0</v>
      </c>
      <c r="E24" s="204">
        <f t="shared" si="0"/>
        <v>0</v>
      </c>
      <c r="F24" s="86"/>
    </row>
    <row r="25" spans="1:6" x14ac:dyDescent="0.25">
      <c r="A25" s="203">
        <v>54118</v>
      </c>
      <c r="B25" s="78" t="s">
        <v>208</v>
      </c>
      <c r="C25" s="79"/>
      <c r="D25" s="79">
        <v>0</v>
      </c>
      <c r="E25" s="204">
        <f t="shared" si="0"/>
        <v>0</v>
      </c>
      <c r="F25" s="86"/>
    </row>
    <row r="26" spans="1:6" x14ac:dyDescent="0.25">
      <c r="A26" s="203">
        <v>54119</v>
      </c>
      <c r="B26" s="78" t="s">
        <v>104</v>
      </c>
      <c r="C26" s="79"/>
      <c r="D26" s="79">
        <v>0</v>
      </c>
      <c r="E26" s="204">
        <f t="shared" si="0"/>
        <v>0</v>
      </c>
      <c r="F26" s="86"/>
    </row>
    <row r="27" spans="1:6" x14ac:dyDescent="0.25">
      <c r="A27" s="203">
        <v>54121</v>
      </c>
      <c r="B27" s="78" t="s">
        <v>105</v>
      </c>
      <c r="C27" s="79"/>
      <c r="D27" s="79">
        <v>0</v>
      </c>
      <c r="E27" s="204">
        <f t="shared" si="0"/>
        <v>0</v>
      </c>
      <c r="F27" s="86"/>
    </row>
    <row r="28" spans="1:6" x14ac:dyDescent="0.25">
      <c r="A28" s="203">
        <v>54199</v>
      </c>
      <c r="B28" s="78" t="s">
        <v>209</v>
      </c>
      <c r="C28" s="79"/>
      <c r="D28" s="79">
        <v>0</v>
      </c>
      <c r="E28" s="204">
        <f t="shared" si="0"/>
        <v>0</v>
      </c>
      <c r="F28" s="86"/>
    </row>
    <row r="29" spans="1:6" x14ac:dyDescent="0.25">
      <c r="A29" s="202">
        <v>542</v>
      </c>
      <c r="B29" s="128" t="s">
        <v>47</v>
      </c>
      <c r="C29" s="179">
        <f>+C30+C32+C34</f>
        <v>408000</v>
      </c>
      <c r="D29" s="179">
        <f>SUM(D30:D34)</f>
        <v>0</v>
      </c>
      <c r="E29" s="186">
        <f t="shared" si="0"/>
        <v>408000</v>
      </c>
      <c r="F29" s="86"/>
    </row>
    <row r="30" spans="1:6" x14ac:dyDescent="0.25">
      <c r="A30" s="203">
        <v>54201</v>
      </c>
      <c r="B30" s="78" t="s">
        <v>107</v>
      </c>
      <c r="C30" s="79">
        <v>294000</v>
      </c>
      <c r="D30" s="79"/>
      <c r="E30" s="80">
        <f t="shared" si="0"/>
        <v>294000</v>
      </c>
      <c r="F30" s="86"/>
    </row>
    <row r="31" spans="1:6" x14ac:dyDescent="0.25">
      <c r="A31" s="203">
        <v>54202</v>
      </c>
      <c r="B31" s="78" t="s">
        <v>108</v>
      </c>
      <c r="C31" s="79"/>
      <c r="D31" s="79">
        <v>0</v>
      </c>
      <c r="E31" s="204">
        <f t="shared" si="0"/>
        <v>0</v>
      </c>
      <c r="F31" s="86"/>
    </row>
    <row r="32" spans="1:6" x14ac:dyDescent="0.25">
      <c r="A32" s="203">
        <v>54203</v>
      </c>
      <c r="B32" s="78" t="s">
        <v>109</v>
      </c>
      <c r="C32" s="79"/>
      <c r="D32" s="79">
        <v>0</v>
      </c>
      <c r="E32" s="204">
        <f t="shared" si="0"/>
        <v>0</v>
      </c>
      <c r="F32" s="86"/>
    </row>
    <row r="33" spans="1:6" x14ac:dyDescent="0.25">
      <c r="A33" s="203">
        <v>54204</v>
      </c>
      <c r="B33" s="78" t="s">
        <v>210</v>
      </c>
      <c r="C33" s="79"/>
      <c r="D33" s="79">
        <v>0</v>
      </c>
      <c r="E33" s="204">
        <f t="shared" si="0"/>
        <v>0</v>
      </c>
      <c r="F33" s="86"/>
    </row>
    <row r="34" spans="1:6" x14ac:dyDescent="0.25">
      <c r="A34" s="203">
        <v>54205</v>
      </c>
      <c r="B34" s="78" t="s">
        <v>30</v>
      </c>
      <c r="C34" s="79">
        <v>114000</v>
      </c>
      <c r="D34" s="79"/>
      <c r="E34" s="204">
        <f t="shared" si="0"/>
        <v>114000</v>
      </c>
      <c r="F34" s="86"/>
    </row>
    <row r="35" spans="1:6" x14ac:dyDescent="0.25">
      <c r="A35" s="202">
        <v>543</v>
      </c>
      <c r="B35" s="128" t="s">
        <v>211</v>
      </c>
      <c r="C35" s="179">
        <f>SUM(C36:C50)</f>
        <v>0</v>
      </c>
      <c r="D35" s="179"/>
      <c r="E35" s="186"/>
      <c r="F35" s="86"/>
    </row>
    <row r="36" spans="1:6" x14ac:dyDescent="0.25">
      <c r="A36" s="203">
        <v>54301</v>
      </c>
      <c r="B36" s="78" t="s">
        <v>212</v>
      </c>
      <c r="C36" s="79"/>
      <c r="D36" s="79"/>
      <c r="E36" s="204"/>
      <c r="F36" s="86"/>
    </row>
    <row r="37" spans="1:6" x14ac:dyDescent="0.25">
      <c r="A37" s="203">
        <v>54302</v>
      </c>
      <c r="B37" s="78" t="s">
        <v>213</v>
      </c>
      <c r="C37" s="79"/>
      <c r="D37" s="79"/>
      <c r="E37" s="204"/>
      <c r="F37" s="86"/>
    </row>
    <row r="38" spans="1:6" x14ac:dyDescent="0.25">
      <c r="A38" s="203">
        <v>54303</v>
      </c>
      <c r="B38" s="78" t="s">
        <v>214</v>
      </c>
      <c r="C38" s="79"/>
      <c r="D38" s="79"/>
      <c r="E38" s="204"/>
      <c r="F38" s="86"/>
    </row>
    <row r="39" spans="1:6" x14ac:dyDescent="0.25">
      <c r="A39" s="203">
        <v>54304</v>
      </c>
      <c r="B39" s="78" t="s">
        <v>115</v>
      </c>
      <c r="C39" s="79">
        <v>0</v>
      </c>
      <c r="D39" s="79"/>
      <c r="E39" s="204"/>
      <c r="F39" s="86"/>
    </row>
    <row r="40" spans="1:6" x14ac:dyDescent="0.25">
      <c r="A40" s="203">
        <v>54305</v>
      </c>
      <c r="B40" s="78" t="s">
        <v>116</v>
      </c>
      <c r="C40" s="79"/>
      <c r="D40" s="79"/>
      <c r="E40" s="204"/>
      <c r="F40" s="86"/>
    </row>
    <row r="41" spans="1:6" x14ac:dyDescent="0.25">
      <c r="A41" s="203">
        <v>54306</v>
      </c>
      <c r="B41" s="78" t="s">
        <v>215</v>
      </c>
      <c r="C41" s="79"/>
      <c r="D41" s="79"/>
      <c r="E41" s="204"/>
      <c r="F41" s="86"/>
    </row>
    <row r="42" spans="1:6" x14ac:dyDescent="0.25">
      <c r="A42" s="203">
        <v>54307</v>
      </c>
      <c r="B42" s="78" t="s">
        <v>216</v>
      </c>
      <c r="C42" s="79"/>
      <c r="D42" s="79"/>
      <c r="E42" s="204"/>
      <c r="F42" s="86"/>
    </row>
    <row r="43" spans="1:6" x14ac:dyDescent="0.25">
      <c r="A43" s="203">
        <v>54309</v>
      </c>
      <c r="B43" s="78" t="s">
        <v>217</v>
      </c>
      <c r="C43" s="79"/>
      <c r="D43" s="79"/>
      <c r="E43" s="204"/>
      <c r="F43" s="86"/>
    </row>
    <row r="44" spans="1:6" x14ac:dyDescent="0.25">
      <c r="A44" s="203">
        <v>54310</v>
      </c>
      <c r="B44" s="78" t="s">
        <v>117</v>
      </c>
      <c r="C44" s="79"/>
      <c r="D44" s="79"/>
      <c r="E44" s="204"/>
      <c r="F44" s="86"/>
    </row>
    <row r="45" spans="1:6" x14ac:dyDescent="0.25">
      <c r="A45" s="203">
        <v>54311</v>
      </c>
      <c r="B45" s="78" t="s">
        <v>118</v>
      </c>
      <c r="C45" s="79"/>
      <c r="D45" s="79"/>
      <c r="E45" s="204"/>
      <c r="F45" s="86"/>
    </row>
    <row r="46" spans="1:6" x14ac:dyDescent="0.25">
      <c r="A46" s="203">
        <v>54313</v>
      </c>
      <c r="B46" s="78" t="s">
        <v>218</v>
      </c>
      <c r="C46" s="79"/>
      <c r="D46" s="79"/>
      <c r="E46" s="204"/>
      <c r="F46" s="86"/>
    </row>
    <row r="47" spans="1:6" x14ac:dyDescent="0.25">
      <c r="A47" s="203">
        <v>54314</v>
      </c>
      <c r="B47" s="78" t="s">
        <v>120</v>
      </c>
      <c r="C47" s="79"/>
      <c r="D47" s="79"/>
      <c r="E47" s="204"/>
      <c r="F47" s="86"/>
    </row>
    <row r="48" spans="1:6" x14ac:dyDescent="0.25">
      <c r="A48" s="203">
        <v>54316</v>
      </c>
      <c r="B48" s="78" t="s">
        <v>121</v>
      </c>
      <c r="C48" s="79"/>
      <c r="D48" s="79"/>
      <c r="E48" s="204"/>
      <c r="F48" s="86"/>
    </row>
    <row r="49" spans="1:6" x14ac:dyDescent="0.25">
      <c r="A49" s="203">
        <v>54317</v>
      </c>
      <c r="B49" s="78" t="s">
        <v>122</v>
      </c>
      <c r="C49" s="79"/>
      <c r="D49" s="79"/>
      <c r="E49" s="204"/>
      <c r="F49" s="86"/>
    </row>
    <row r="50" spans="1:6" x14ac:dyDescent="0.25">
      <c r="A50" s="203">
        <v>54399</v>
      </c>
      <c r="B50" s="78" t="s">
        <v>219</v>
      </c>
      <c r="C50" s="79"/>
      <c r="D50" s="79"/>
      <c r="E50" s="204"/>
      <c r="F50" s="86"/>
    </row>
    <row r="51" spans="1:6" x14ac:dyDescent="0.25">
      <c r="A51" s="202">
        <v>544</v>
      </c>
      <c r="B51" s="128" t="s">
        <v>124</v>
      </c>
      <c r="C51" s="179"/>
      <c r="D51" s="179"/>
      <c r="E51" s="186"/>
      <c r="F51" s="86"/>
    </row>
    <row r="52" spans="1:6" x14ac:dyDescent="0.25">
      <c r="A52" s="203">
        <v>54401</v>
      </c>
      <c r="B52" s="78" t="s">
        <v>220</v>
      </c>
      <c r="C52" s="79"/>
      <c r="D52" s="79"/>
      <c r="E52" s="204"/>
      <c r="F52" s="86"/>
    </row>
    <row r="53" spans="1:6" x14ac:dyDescent="0.25">
      <c r="A53" s="203">
        <v>54402</v>
      </c>
      <c r="B53" s="78" t="s">
        <v>221</v>
      </c>
      <c r="C53" s="79"/>
      <c r="D53" s="79"/>
      <c r="E53" s="204"/>
      <c r="F53" s="86"/>
    </row>
    <row r="54" spans="1:6" x14ac:dyDescent="0.25">
      <c r="A54" s="203">
        <v>54403</v>
      </c>
      <c r="B54" s="78" t="s">
        <v>125</v>
      </c>
      <c r="C54" s="79"/>
      <c r="D54" s="79"/>
      <c r="E54" s="204"/>
      <c r="F54" s="86"/>
    </row>
    <row r="55" spans="1:6" x14ac:dyDescent="0.25">
      <c r="A55" s="203">
        <v>54404</v>
      </c>
      <c r="B55" s="78" t="s">
        <v>222</v>
      </c>
      <c r="C55" s="79"/>
      <c r="D55" s="79"/>
      <c r="E55" s="204"/>
      <c r="F55" s="86"/>
    </row>
    <row r="56" spans="1:6" x14ac:dyDescent="0.25">
      <c r="A56" s="202">
        <v>545</v>
      </c>
      <c r="B56" s="128" t="s">
        <v>223</v>
      </c>
      <c r="C56" s="179"/>
      <c r="D56" s="179"/>
      <c r="E56" s="186"/>
      <c r="F56" s="86"/>
    </row>
    <row r="57" spans="1:6" x14ac:dyDescent="0.25">
      <c r="A57" s="203">
        <v>54501</v>
      </c>
      <c r="B57" s="78" t="s">
        <v>224</v>
      </c>
      <c r="C57" s="79"/>
      <c r="D57" s="79"/>
      <c r="E57" s="204"/>
      <c r="F57" s="86"/>
    </row>
    <row r="58" spans="1:6" x14ac:dyDescent="0.25">
      <c r="A58" s="203">
        <v>54503</v>
      </c>
      <c r="B58" s="78" t="s">
        <v>127</v>
      </c>
      <c r="C58" s="79"/>
      <c r="D58" s="79"/>
      <c r="E58" s="204"/>
      <c r="F58" s="86"/>
    </row>
    <row r="59" spans="1:6" x14ac:dyDescent="0.25">
      <c r="A59" s="203">
        <v>54504</v>
      </c>
      <c r="B59" s="78" t="s">
        <v>128</v>
      </c>
      <c r="C59" s="79"/>
      <c r="D59" s="79"/>
      <c r="E59" s="204"/>
      <c r="F59" s="86"/>
    </row>
    <row r="60" spans="1:6" x14ac:dyDescent="0.25">
      <c r="A60" s="203">
        <v>54505</v>
      </c>
      <c r="B60" s="78" t="s">
        <v>225</v>
      </c>
      <c r="C60" s="79"/>
      <c r="D60" s="79"/>
      <c r="E60" s="204"/>
      <c r="F60" s="86"/>
    </row>
    <row r="61" spans="1:6" x14ac:dyDescent="0.25">
      <c r="A61" s="203">
        <v>54507</v>
      </c>
      <c r="B61" s="78" t="s">
        <v>226</v>
      </c>
      <c r="C61" s="79"/>
      <c r="D61" s="79"/>
      <c r="E61" s="204"/>
      <c r="F61" s="86"/>
    </row>
    <row r="62" spans="1:6" x14ac:dyDescent="0.25">
      <c r="A62" s="203">
        <v>54508</v>
      </c>
      <c r="B62" s="78" t="s">
        <v>227</v>
      </c>
      <c r="C62" s="79"/>
      <c r="D62" s="79"/>
      <c r="E62" s="204"/>
      <c r="F62" s="86"/>
    </row>
    <row r="63" spans="1:6" x14ac:dyDescent="0.25">
      <c r="A63" s="202">
        <v>546</v>
      </c>
      <c r="B63" s="128" t="s">
        <v>742</v>
      </c>
      <c r="C63" s="179">
        <v>96000</v>
      </c>
      <c r="D63" s="79"/>
      <c r="E63" s="186">
        <f t="shared" ref="E63" si="1">+C63+D63</f>
        <v>96000</v>
      </c>
      <c r="F63" s="86"/>
    </row>
    <row r="64" spans="1:6" x14ac:dyDescent="0.25">
      <c r="A64" s="203">
        <v>54602</v>
      </c>
      <c r="B64" s="78" t="s">
        <v>741</v>
      </c>
      <c r="C64" s="79">
        <v>96000</v>
      </c>
      <c r="D64" s="79"/>
      <c r="E64" s="80">
        <f t="shared" ref="E64" si="2">+C64+D64</f>
        <v>96000</v>
      </c>
      <c r="F64" s="86"/>
    </row>
    <row r="65" spans="1:6" x14ac:dyDescent="0.25">
      <c r="A65" s="202">
        <v>55</v>
      </c>
      <c r="B65" s="128" t="s">
        <v>129</v>
      </c>
      <c r="C65" s="179">
        <f>+C66+C71+C75</f>
        <v>300</v>
      </c>
      <c r="D65" s="179"/>
      <c r="E65" s="186">
        <v>300</v>
      </c>
      <c r="F65" s="86"/>
    </row>
    <row r="66" spans="1:6" x14ac:dyDescent="0.25">
      <c r="A66" s="202">
        <v>553</v>
      </c>
      <c r="B66" s="128" t="s">
        <v>231</v>
      </c>
      <c r="C66" s="179">
        <f>C67+C68+C69+C70</f>
        <v>0</v>
      </c>
      <c r="D66" s="79"/>
      <c r="E66" s="186">
        <f>E67+E68+E69+E70</f>
        <v>0</v>
      </c>
      <c r="F66" s="86"/>
    </row>
    <row r="67" spans="1:6" x14ac:dyDescent="0.25">
      <c r="A67" s="203">
        <v>55302</v>
      </c>
      <c r="B67" s="78" t="s">
        <v>245</v>
      </c>
      <c r="C67" s="79"/>
      <c r="D67" s="79"/>
      <c r="E67" s="80"/>
      <c r="F67" s="86"/>
    </row>
    <row r="68" spans="1:6" x14ac:dyDescent="0.25">
      <c r="A68" s="203">
        <v>55303</v>
      </c>
      <c r="B68" s="78" t="s">
        <v>233</v>
      </c>
      <c r="C68" s="79"/>
      <c r="D68" s="79"/>
      <c r="E68" s="204"/>
      <c r="F68" s="86"/>
    </row>
    <row r="69" spans="1:6" x14ac:dyDescent="0.25">
      <c r="A69" s="203">
        <v>55304</v>
      </c>
      <c r="B69" s="78" t="s">
        <v>63</v>
      </c>
      <c r="C69" s="79"/>
      <c r="D69" s="79"/>
      <c r="E69" s="204"/>
      <c r="F69" s="86"/>
    </row>
    <row r="70" spans="1:6" x14ac:dyDescent="0.25">
      <c r="A70" s="203">
        <v>55308</v>
      </c>
      <c r="B70" s="78" t="s">
        <v>234</v>
      </c>
      <c r="C70" s="79"/>
      <c r="D70" s="79"/>
      <c r="E70" s="204"/>
      <c r="F70" s="86"/>
    </row>
    <row r="71" spans="1:6" x14ac:dyDescent="0.25">
      <c r="A71" s="202">
        <v>556</v>
      </c>
      <c r="B71" s="128" t="s">
        <v>235</v>
      </c>
      <c r="C71" s="179">
        <v>300</v>
      </c>
      <c r="D71" s="179"/>
      <c r="E71" s="186">
        <f t="shared" ref="E71:E87" si="3">+C71+D71</f>
        <v>300</v>
      </c>
      <c r="F71" s="86"/>
    </row>
    <row r="72" spans="1:6" x14ac:dyDescent="0.25">
      <c r="A72" s="203">
        <v>55601</v>
      </c>
      <c r="B72" s="78" t="s">
        <v>236</v>
      </c>
      <c r="C72" s="79"/>
      <c r="D72" s="79"/>
      <c r="E72" s="204">
        <f t="shared" si="3"/>
        <v>0</v>
      </c>
      <c r="F72" s="86"/>
    </row>
    <row r="73" spans="1:6" x14ac:dyDescent="0.25">
      <c r="A73" s="203">
        <v>55602</v>
      </c>
      <c r="B73" s="78" t="s">
        <v>134</v>
      </c>
      <c r="C73" s="79"/>
      <c r="D73" s="79"/>
      <c r="E73" s="204">
        <f t="shared" si="3"/>
        <v>0</v>
      </c>
      <c r="F73" s="86"/>
    </row>
    <row r="74" spans="1:6" x14ac:dyDescent="0.25">
      <c r="A74" s="203">
        <v>55603</v>
      </c>
      <c r="B74" s="78" t="s">
        <v>237</v>
      </c>
      <c r="C74" s="79">
        <v>300</v>
      </c>
      <c r="D74" s="79"/>
      <c r="E74" s="204">
        <f t="shared" si="3"/>
        <v>300</v>
      </c>
      <c r="F74" s="86"/>
    </row>
    <row r="75" spans="1:6" x14ac:dyDescent="0.25">
      <c r="A75" s="202">
        <v>557</v>
      </c>
      <c r="B75" s="128" t="s">
        <v>136</v>
      </c>
      <c r="C75" s="179"/>
      <c r="D75" s="179"/>
      <c r="E75" s="204">
        <f t="shared" si="3"/>
        <v>0</v>
      </c>
      <c r="F75" s="86"/>
    </row>
    <row r="76" spans="1:6" x14ac:dyDescent="0.25">
      <c r="A76" s="203">
        <v>55701</v>
      </c>
      <c r="B76" s="78" t="s">
        <v>238</v>
      </c>
      <c r="C76" s="79"/>
      <c r="D76" s="79"/>
      <c r="E76" s="204">
        <f t="shared" si="3"/>
        <v>0</v>
      </c>
      <c r="F76" s="86"/>
    </row>
    <row r="77" spans="1:6" x14ac:dyDescent="0.25">
      <c r="A77" s="203">
        <v>55702</v>
      </c>
      <c r="B77" s="78" t="s">
        <v>239</v>
      </c>
      <c r="C77" s="79"/>
      <c r="D77" s="79"/>
      <c r="E77" s="204">
        <f t="shared" si="3"/>
        <v>0</v>
      </c>
      <c r="F77" s="86"/>
    </row>
    <row r="78" spans="1:6" x14ac:dyDescent="0.25">
      <c r="A78" s="203">
        <v>55799</v>
      </c>
      <c r="B78" s="78" t="s">
        <v>137</v>
      </c>
      <c r="C78" s="79"/>
      <c r="D78" s="79"/>
      <c r="E78" s="204">
        <f t="shared" si="3"/>
        <v>0</v>
      </c>
      <c r="F78" s="86"/>
    </row>
    <row r="79" spans="1:6" x14ac:dyDescent="0.25">
      <c r="A79" s="203"/>
      <c r="B79" s="78"/>
      <c r="C79" s="79"/>
      <c r="D79" s="79"/>
      <c r="E79" s="204">
        <f t="shared" si="3"/>
        <v>0</v>
      </c>
      <c r="F79" s="86"/>
    </row>
    <row r="80" spans="1:6" x14ac:dyDescent="0.25">
      <c r="A80" s="202">
        <v>56</v>
      </c>
      <c r="B80" s="128" t="s">
        <v>57</v>
      </c>
      <c r="C80" s="179">
        <f>+C81+C83</f>
        <v>0</v>
      </c>
      <c r="D80" s="179"/>
      <c r="E80" s="186">
        <f t="shared" si="3"/>
        <v>0</v>
      </c>
      <c r="F80" s="86"/>
    </row>
    <row r="81" spans="1:6" x14ac:dyDescent="0.25">
      <c r="A81" s="202">
        <v>562</v>
      </c>
      <c r="B81" s="128" t="s">
        <v>138</v>
      </c>
      <c r="C81" s="179">
        <f>+C82</f>
        <v>0</v>
      </c>
      <c r="D81" s="179"/>
      <c r="E81" s="186">
        <f t="shared" si="3"/>
        <v>0</v>
      </c>
      <c r="F81" s="86"/>
    </row>
    <row r="82" spans="1:6" x14ac:dyDescent="0.25">
      <c r="A82" s="203">
        <v>56201</v>
      </c>
      <c r="B82" s="78" t="s">
        <v>241</v>
      </c>
      <c r="C82" s="79"/>
      <c r="D82" s="79"/>
      <c r="E82" s="204">
        <f t="shared" si="3"/>
        <v>0</v>
      </c>
      <c r="F82" s="86"/>
    </row>
    <row r="83" spans="1:6" x14ac:dyDescent="0.25">
      <c r="A83" s="202">
        <v>563</v>
      </c>
      <c r="B83" s="128" t="s">
        <v>139</v>
      </c>
      <c r="C83" s="179"/>
      <c r="D83" s="179"/>
      <c r="E83" s="204">
        <f t="shared" si="3"/>
        <v>0</v>
      </c>
      <c r="F83" s="86"/>
    </row>
    <row r="84" spans="1:6" x14ac:dyDescent="0.25">
      <c r="A84" s="203">
        <v>56303</v>
      </c>
      <c r="B84" s="78" t="s">
        <v>241</v>
      </c>
      <c r="C84" s="79"/>
      <c r="D84" s="79"/>
      <c r="E84" s="204">
        <f t="shared" si="3"/>
        <v>0</v>
      </c>
      <c r="F84" s="86"/>
    </row>
    <row r="85" spans="1:6" x14ac:dyDescent="0.25">
      <c r="A85" s="203">
        <v>56304</v>
      </c>
      <c r="B85" s="78" t="s">
        <v>246</v>
      </c>
      <c r="C85" s="79"/>
      <c r="D85" s="79"/>
      <c r="E85" s="204">
        <f t="shared" si="3"/>
        <v>0</v>
      </c>
      <c r="F85" s="86"/>
    </row>
    <row r="86" spans="1:6" ht="15.75" thickBot="1" x14ac:dyDescent="0.3">
      <c r="A86" s="205">
        <v>56305</v>
      </c>
      <c r="B86" s="206" t="s">
        <v>142</v>
      </c>
      <c r="C86" s="196"/>
      <c r="D86" s="196"/>
      <c r="E86" s="207">
        <f t="shared" si="3"/>
        <v>0</v>
      </c>
      <c r="F86" s="86"/>
    </row>
    <row r="87" spans="1:6" ht="15.75" thickBot="1" x14ac:dyDescent="0.3">
      <c r="A87" s="208"/>
      <c r="B87" s="197" t="s">
        <v>1</v>
      </c>
      <c r="C87" s="198">
        <f>+C8+C63+C65+C80</f>
        <v>504300</v>
      </c>
      <c r="D87" s="198">
        <f>+D80+D65+D8</f>
        <v>0</v>
      </c>
      <c r="E87" s="199">
        <f t="shared" si="3"/>
        <v>504300</v>
      </c>
      <c r="F87" s="86"/>
    </row>
    <row r="88" spans="1:6" x14ac:dyDescent="0.25">
      <c r="A88" s="86"/>
      <c r="B88" s="330"/>
      <c r="C88" s="331"/>
      <c r="D88" s="331"/>
      <c r="E88" s="331"/>
      <c r="F88" s="86"/>
    </row>
    <row r="89" spans="1:6" x14ac:dyDescent="0.25">
      <c r="A89" s="86"/>
      <c r="B89" s="86"/>
      <c r="C89" s="86"/>
      <c r="D89" s="86"/>
      <c r="E89" s="86"/>
      <c r="F89" s="86"/>
    </row>
    <row r="90" spans="1:6" x14ac:dyDescent="0.25">
      <c r="A90" s="86"/>
      <c r="B90" s="86"/>
      <c r="C90" s="86"/>
      <c r="D90" s="86"/>
      <c r="E90" s="86"/>
      <c r="F90" s="86"/>
    </row>
    <row r="91" spans="1:6" x14ac:dyDescent="0.25">
      <c r="A91" s="86"/>
      <c r="B91" s="86"/>
      <c r="C91" s="86"/>
      <c r="D91" s="86"/>
      <c r="E91" s="86"/>
      <c r="F91" s="86"/>
    </row>
    <row r="92" spans="1:6" x14ac:dyDescent="0.25">
      <c r="A92" s="86"/>
      <c r="B92" s="86"/>
      <c r="C92" s="86"/>
      <c r="D92" s="86"/>
      <c r="E92" s="86"/>
      <c r="F92" s="86"/>
    </row>
    <row r="93" spans="1:6" x14ac:dyDescent="0.25">
      <c r="A93" s="86"/>
      <c r="B93" s="86"/>
      <c r="C93" s="86"/>
      <c r="D93" s="86"/>
      <c r="E93" s="86"/>
      <c r="F93" s="86"/>
    </row>
    <row r="94" spans="1:6" x14ac:dyDescent="0.25">
      <c r="A94" s="86"/>
      <c r="B94" s="86"/>
      <c r="C94" s="86"/>
      <c r="D94" s="86"/>
      <c r="E94" s="86"/>
      <c r="F94" s="86"/>
    </row>
    <row r="95" spans="1:6" x14ac:dyDescent="0.25">
      <c r="A95" s="86"/>
      <c r="B95" s="86"/>
      <c r="C95" s="86"/>
      <c r="D95" s="86"/>
      <c r="E95" s="86"/>
      <c r="F95" s="86"/>
    </row>
    <row r="96" spans="1:6" x14ac:dyDescent="0.25">
      <c r="A96" s="86"/>
      <c r="B96" s="86"/>
      <c r="C96" s="86"/>
      <c r="D96" s="86"/>
      <c r="E96" s="86"/>
      <c r="F96" s="86"/>
    </row>
    <row r="97" spans="1:6" x14ac:dyDescent="0.25">
      <c r="A97" s="86"/>
      <c r="B97" s="86"/>
      <c r="C97" s="86"/>
      <c r="D97" s="86"/>
      <c r="E97" s="86"/>
      <c r="F97" s="86"/>
    </row>
    <row r="98" spans="1:6" x14ac:dyDescent="0.25">
      <c r="A98" s="86"/>
      <c r="B98" s="86"/>
      <c r="C98" s="86"/>
      <c r="D98" s="86"/>
      <c r="E98" s="86"/>
      <c r="F98" s="86"/>
    </row>
    <row r="99" spans="1:6" x14ac:dyDescent="0.25">
      <c r="A99" s="86"/>
      <c r="B99" s="86"/>
      <c r="C99" s="86"/>
      <c r="D99" s="86"/>
      <c r="E99" s="86"/>
      <c r="F99" s="86"/>
    </row>
    <row r="100" spans="1:6" x14ac:dyDescent="0.25">
      <c r="A100" s="86"/>
      <c r="B100" s="86"/>
      <c r="C100" s="86"/>
      <c r="D100" s="86"/>
      <c r="E100" s="86"/>
      <c r="F100" s="86"/>
    </row>
    <row r="101" spans="1:6" x14ac:dyDescent="0.25">
      <c r="A101" s="86"/>
      <c r="B101" s="86"/>
      <c r="C101" s="86"/>
      <c r="D101" s="86"/>
      <c r="E101" s="86"/>
      <c r="F101" s="86"/>
    </row>
    <row r="102" spans="1:6" x14ac:dyDescent="0.25">
      <c r="A102" s="86"/>
      <c r="B102" s="86"/>
      <c r="C102" s="86"/>
      <c r="D102" s="86"/>
      <c r="E102" s="86"/>
      <c r="F102" s="86"/>
    </row>
    <row r="103" spans="1:6" x14ac:dyDescent="0.25">
      <c r="A103" s="580" t="s">
        <v>247</v>
      </c>
      <c r="B103" s="580"/>
      <c r="C103" s="580"/>
      <c r="D103" s="580"/>
      <c r="E103" s="580"/>
      <c r="F103" s="86"/>
    </row>
    <row r="104" spans="1:6" x14ac:dyDescent="0.25">
      <c r="A104" s="580" t="s">
        <v>190</v>
      </c>
      <c r="B104" s="580"/>
      <c r="C104" s="580"/>
      <c r="D104" s="580"/>
      <c r="E104" s="580"/>
      <c r="F104" s="86"/>
    </row>
    <row r="105" spans="1:6" x14ac:dyDescent="0.25">
      <c r="A105" s="580" t="s">
        <v>243</v>
      </c>
      <c r="B105" s="580"/>
      <c r="C105" s="580"/>
      <c r="D105" s="580"/>
      <c r="E105" s="580"/>
      <c r="F105" s="86"/>
    </row>
    <row r="106" spans="1:6" x14ac:dyDescent="0.25">
      <c r="A106" s="581" t="s">
        <v>192</v>
      </c>
      <c r="B106" s="581"/>
      <c r="C106" s="581"/>
      <c r="D106" s="581"/>
      <c r="E106" s="581"/>
      <c r="F106" s="86"/>
    </row>
    <row r="107" spans="1:6" ht="15.75" thickBot="1" x14ac:dyDescent="0.3">
      <c r="A107" s="86"/>
      <c r="B107" s="86"/>
      <c r="C107" s="86"/>
      <c r="D107" s="86"/>
      <c r="E107" s="86"/>
      <c r="F107" s="86"/>
    </row>
    <row r="108" spans="1:6" ht="15.75" thickBot="1" x14ac:dyDescent="0.3">
      <c r="A108" s="191"/>
      <c r="B108" s="192"/>
      <c r="C108" s="582" t="s">
        <v>248</v>
      </c>
      <c r="D108" s="583"/>
      <c r="E108" s="584"/>
      <c r="F108" s="86"/>
    </row>
    <row r="109" spans="1:6" ht="15" customHeight="1" x14ac:dyDescent="0.25">
      <c r="A109" s="193" t="s">
        <v>198</v>
      </c>
      <c r="B109" s="194"/>
      <c r="C109" s="578" t="s">
        <v>368</v>
      </c>
      <c r="D109" s="578" t="s">
        <v>369</v>
      </c>
      <c r="E109" s="578" t="s">
        <v>244</v>
      </c>
      <c r="F109" s="86"/>
    </row>
    <row r="110" spans="1:6" ht="39.75" customHeight="1" thickBot="1" x14ac:dyDescent="0.3">
      <c r="A110" s="200"/>
      <c r="B110" s="195" t="s">
        <v>173</v>
      </c>
      <c r="C110" s="579"/>
      <c r="D110" s="579"/>
      <c r="E110" s="579"/>
      <c r="F110" s="86"/>
    </row>
    <row r="111" spans="1:6" x14ac:dyDescent="0.25">
      <c r="A111" s="180">
        <v>54</v>
      </c>
      <c r="B111" s="181" t="s">
        <v>88</v>
      </c>
      <c r="C111" s="178">
        <f>+C112+C133+C139+C155+C160+C165</f>
        <v>127417</v>
      </c>
      <c r="D111" s="178">
        <f>+D112+D133+D139+D155+D160-D165</f>
        <v>321071.7</v>
      </c>
      <c r="E111" s="185">
        <f>+E112+E133+E139+E155+E160+E165</f>
        <v>531688.69999999995</v>
      </c>
      <c r="F111" s="86"/>
    </row>
    <row r="112" spans="1:6" x14ac:dyDescent="0.25">
      <c r="A112" s="129">
        <v>541</v>
      </c>
      <c r="B112" s="128" t="s">
        <v>89</v>
      </c>
      <c r="C112" s="179">
        <f>SUM(C113:C132)</f>
        <v>55617</v>
      </c>
      <c r="D112" s="179">
        <f>SUM(D113:D132)</f>
        <v>154106.70000000001</v>
      </c>
      <c r="E112" s="186">
        <f>SUM(E113:E132)</f>
        <v>209723.7</v>
      </c>
      <c r="F112" s="86"/>
    </row>
    <row r="113" spans="1:6" x14ac:dyDescent="0.25">
      <c r="A113" s="77">
        <v>54101</v>
      </c>
      <c r="B113" s="78" t="s">
        <v>202</v>
      </c>
      <c r="C113" s="79">
        <v>13000</v>
      </c>
      <c r="D113" s="79">
        <v>4000</v>
      </c>
      <c r="E113" s="204">
        <f t="shared" ref="E113:E132" si="4">+C113+D113</f>
        <v>17000</v>
      </c>
      <c r="F113" s="86"/>
    </row>
    <row r="114" spans="1:6" x14ac:dyDescent="0.25">
      <c r="A114" s="77">
        <v>54103</v>
      </c>
      <c r="B114" s="78" t="s">
        <v>203</v>
      </c>
      <c r="C114" s="79"/>
      <c r="D114" s="79"/>
      <c r="E114" s="204">
        <f t="shared" si="4"/>
        <v>0</v>
      </c>
      <c r="F114" s="86"/>
    </row>
    <row r="115" spans="1:6" x14ac:dyDescent="0.25">
      <c r="A115" s="77">
        <v>54104</v>
      </c>
      <c r="B115" s="78" t="s">
        <v>91</v>
      </c>
      <c r="C115" s="79">
        <v>5000</v>
      </c>
      <c r="D115" s="79">
        <v>14224</v>
      </c>
      <c r="E115" s="204">
        <f t="shared" si="4"/>
        <v>19224</v>
      </c>
      <c r="F115" s="86"/>
    </row>
    <row r="116" spans="1:6" x14ac:dyDescent="0.25">
      <c r="A116" s="77">
        <v>54105</v>
      </c>
      <c r="B116" s="78" t="s">
        <v>204</v>
      </c>
      <c r="C116" s="79">
        <v>3000</v>
      </c>
      <c r="D116" s="79">
        <v>3532.7</v>
      </c>
      <c r="E116" s="204">
        <f t="shared" si="4"/>
        <v>6532.7</v>
      </c>
      <c r="F116" s="86"/>
    </row>
    <row r="117" spans="1:6" x14ac:dyDescent="0.25">
      <c r="A117" s="77">
        <v>54106</v>
      </c>
      <c r="B117" s="78" t="s">
        <v>93</v>
      </c>
      <c r="C117" s="79"/>
      <c r="D117" s="79">
        <v>3000</v>
      </c>
      <c r="E117" s="204">
        <f t="shared" si="4"/>
        <v>3000</v>
      </c>
      <c r="F117" s="86"/>
    </row>
    <row r="118" spans="1:6" x14ac:dyDescent="0.25">
      <c r="A118" s="77">
        <v>54107</v>
      </c>
      <c r="B118" s="78" t="s">
        <v>94</v>
      </c>
      <c r="C118" s="79">
        <v>500</v>
      </c>
      <c r="D118" s="79">
        <v>15000</v>
      </c>
      <c r="E118" s="204">
        <f t="shared" si="4"/>
        <v>15500</v>
      </c>
      <c r="F118" s="86"/>
    </row>
    <row r="119" spans="1:6" x14ac:dyDescent="0.25">
      <c r="A119" s="77">
        <v>54108</v>
      </c>
      <c r="B119" s="78" t="s">
        <v>95</v>
      </c>
      <c r="C119" s="79"/>
      <c r="D119" s="79">
        <v>3000</v>
      </c>
      <c r="E119" s="204">
        <f t="shared" si="4"/>
        <v>3000</v>
      </c>
      <c r="F119" s="86"/>
    </row>
    <row r="120" spans="1:6" x14ac:dyDescent="0.25">
      <c r="A120" s="77">
        <v>54109</v>
      </c>
      <c r="B120" s="78" t="s">
        <v>96</v>
      </c>
      <c r="C120" s="79">
        <v>750</v>
      </c>
      <c r="D120" s="79">
        <v>2250</v>
      </c>
      <c r="E120" s="204">
        <f t="shared" si="4"/>
        <v>3000</v>
      </c>
      <c r="F120" s="86"/>
    </row>
    <row r="121" spans="1:6" x14ac:dyDescent="0.25">
      <c r="A121" s="77">
        <v>54110</v>
      </c>
      <c r="B121" s="78" t="s">
        <v>97</v>
      </c>
      <c r="C121" s="79"/>
      <c r="D121" s="79">
        <v>48000</v>
      </c>
      <c r="E121" s="204">
        <f t="shared" si="4"/>
        <v>48000</v>
      </c>
      <c r="F121" s="86"/>
    </row>
    <row r="122" spans="1:6" x14ac:dyDescent="0.25">
      <c r="A122" s="77">
        <v>54111</v>
      </c>
      <c r="B122" s="78" t="s">
        <v>205</v>
      </c>
      <c r="C122" s="79">
        <v>5000</v>
      </c>
      <c r="D122" s="79">
        <v>2000</v>
      </c>
      <c r="E122" s="204">
        <f t="shared" si="4"/>
        <v>7000</v>
      </c>
      <c r="F122" s="86"/>
    </row>
    <row r="123" spans="1:6" x14ac:dyDescent="0.25">
      <c r="A123" s="77">
        <v>54112</v>
      </c>
      <c r="B123" s="78" t="s">
        <v>206</v>
      </c>
      <c r="C123" s="79"/>
      <c r="D123" s="79">
        <v>7000</v>
      </c>
      <c r="E123" s="204">
        <f t="shared" si="4"/>
        <v>7000</v>
      </c>
      <c r="F123" s="86"/>
    </row>
    <row r="124" spans="1:6" x14ac:dyDescent="0.25">
      <c r="A124" s="77">
        <v>54113</v>
      </c>
      <c r="B124" s="78" t="s">
        <v>249</v>
      </c>
      <c r="C124" s="79"/>
      <c r="D124" s="79"/>
      <c r="E124" s="204">
        <f t="shared" si="4"/>
        <v>0</v>
      </c>
      <c r="F124" s="86"/>
    </row>
    <row r="125" spans="1:6" x14ac:dyDescent="0.25">
      <c r="A125" s="77">
        <v>54114</v>
      </c>
      <c r="B125" s="78" t="s">
        <v>100</v>
      </c>
      <c r="C125" s="79">
        <v>2400</v>
      </c>
      <c r="D125" s="79">
        <v>2600</v>
      </c>
      <c r="E125" s="204">
        <f t="shared" si="4"/>
        <v>5000</v>
      </c>
      <c r="F125" s="86"/>
    </row>
    <row r="126" spans="1:6" x14ac:dyDescent="0.25">
      <c r="A126" s="77">
        <v>54115</v>
      </c>
      <c r="B126" s="78" t="s">
        <v>101</v>
      </c>
      <c r="C126" s="79">
        <v>3000</v>
      </c>
      <c r="D126" s="79">
        <v>7000</v>
      </c>
      <c r="E126" s="204">
        <f t="shared" si="4"/>
        <v>10000</v>
      </c>
      <c r="F126" s="86"/>
    </row>
    <row r="127" spans="1:6" x14ac:dyDescent="0.25">
      <c r="A127" s="77">
        <v>54116</v>
      </c>
      <c r="B127" s="78" t="s">
        <v>207</v>
      </c>
      <c r="C127" s="79"/>
      <c r="D127" s="79"/>
      <c r="E127" s="204">
        <f t="shared" si="4"/>
        <v>0</v>
      </c>
      <c r="F127" s="86"/>
    </row>
    <row r="128" spans="1:6" x14ac:dyDescent="0.25">
      <c r="A128" s="77">
        <v>54117</v>
      </c>
      <c r="B128" s="78" t="s">
        <v>102</v>
      </c>
      <c r="C128" s="79"/>
      <c r="D128" s="79">
        <v>5000</v>
      </c>
      <c r="E128" s="204">
        <f t="shared" si="4"/>
        <v>5000</v>
      </c>
      <c r="F128" s="86"/>
    </row>
    <row r="129" spans="1:6" x14ac:dyDescent="0.25">
      <c r="A129" s="77">
        <v>54118</v>
      </c>
      <c r="B129" s="78" t="s">
        <v>208</v>
      </c>
      <c r="C129" s="79"/>
      <c r="D129" s="79">
        <v>5500</v>
      </c>
      <c r="E129" s="204">
        <f t="shared" si="4"/>
        <v>5500</v>
      </c>
      <c r="F129" s="86"/>
    </row>
    <row r="130" spans="1:6" x14ac:dyDescent="0.25">
      <c r="A130" s="77">
        <v>54119</v>
      </c>
      <c r="B130" s="78" t="s">
        <v>104</v>
      </c>
      <c r="C130" s="79"/>
      <c r="D130" s="79">
        <v>25000</v>
      </c>
      <c r="E130" s="204">
        <f t="shared" si="4"/>
        <v>25000</v>
      </c>
      <c r="F130" s="86"/>
    </row>
    <row r="131" spans="1:6" x14ac:dyDescent="0.25">
      <c r="A131" s="77">
        <v>54121</v>
      </c>
      <c r="B131" s="78" t="s">
        <v>105</v>
      </c>
      <c r="C131" s="79">
        <v>20267</v>
      </c>
      <c r="D131" s="79"/>
      <c r="E131" s="204">
        <f t="shared" si="4"/>
        <v>20267</v>
      </c>
      <c r="F131" s="86"/>
    </row>
    <row r="132" spans="1:6" x14ac:dyDescent="0.25">
      <c r="A132" s="77">
        <v>54199</v>
      </c>
      <c r="B132" s="78" t="s">
        <v>209</v>
      </c>
      <c r="C132" s="79">
        <v>2700</v>
      </c>
      <c r="D132" s="79">
        <v>7000</v>
      </c>
      <c r="E132" s="204">
        <f t="shared" si="4"/>
        <v>9700</v>
      </c>
      <c r="F132" s="86"/>
    </row>
    <row r="133" spans="1:6" x14ac:dyDescent="0.25">
      <c r="A133" s="129">
        <v>542</v>
      </c>
      <c r="B133" s="128" t="s">
        <v>47</v>
      </c>
      <c r="C133" s="179">
        <f>SUM(C134:C138)</f>
        <v>0</v>
      </c>
      <c r="D133" s="179">
        <f>SUM(D134:D138)</f>
        <v>167965</v>
      </c>
      <c r="E133" s="186">
        <f>SUM(E134:E138)</f>
        <v>167965</v>
      </c>
      <c r="F133" s="86"/>
    </row>
    <row r="134" spans="1:6" x14ac:dyDescent="0.25">
      <c r="A134" s="77">
        <v>54201</v>
      </c>
      <c r="B134" s="78" t="s">
        <v>107</v>
      </c>
      <c r="C134" s="79"/>
      <c r="D134" s="79">
        <v>40065</v>
      </c>
      <c r="E134" s="204">
        <f>+C134+D134</f>
        <v>40065</v>
      </c>
      <c r="F134" s="86"/>
    </row>
    <row r="135" spans="1:6" x14ac:dyDescent="0.25">
      <c r="A135" s="77">
        <v>54202</v>
      </c>
      <c r="B135" s="78" t="s">
        <v>108</v>
      </c>
      <c r="C135" s="79"/>
      <c r="D135" s="79">
        <v>400</v>
      </c>
      <c r="E135" s="204">
        <f>+C135+D135</f>
        <v>400</v>
      </c>
      <c r="F135" s="86"/>
    </row>
    <row r="136" spans="1:6" x14ac:dyDescent="0.25">
      <c r="A136" s="77">
        <v>54203</v>
      </c>
      <c r="B136" s="78" t="s">
        <v>109</v>
      </c>
      <c r="C136" s="79"/>
      <c r="D136" s="79">
        <v>32500</v>
      </c>
      <c r="E136" s="204">
        <f>+C136+D136</f>
        <v>32500</v>
      </c>
      <c r="F136" s="86"/>
    </row>
    <row r="137" spans="1:6" x14ac:dyDescent="0.25">
      <c r="A137" s="77">
        <v>54204</v>
      </c>
      <c r="B137" s="78" t="s">
        <v>210</v>
      </c>
      <c r="C137" s="79"/>
      <c r="D137" s="79">
        <v>0</v>
      </c>
      <c r="E137" s="204">
        <f>+C137+D137</f>
        <v>0</v>
      </c>
      <c r="F137" s="86"/>
    </row>
    <row r="138" spans="1:6" x14ac:dyDescent="0.25">
      <c r="A138" s="77">
        <v>54205</v>
      </c>
      <c r="B138" s="78" t="s">
        <v>30</v>
      </c>
      <c r="C138" s="79"/>
      <c r="D138" s="79">
        <v>95000</v>
      </c>
      <c r="E138" s="204">
        <f>+C138+D138</f>
        <v>95000</v>
      </c>
      <c r="F138" s="86"/>
    </row>
    <row r="139" spans="1:6" x14ac:dyDescent="0.25">
      <c r="A139" s="129">
        <v>543</v>
      </c>
      <c r="B139" s="128" t="s">
        <v>211</v>
      </c>
      <c r="C139" s="179">
        <f>SUM(C140:C154)</f>
        <v>60300</v>
      </c>
      <c r="D139" s="179">
        <f>SUM(D140:D154)</f>
        <v>38500</v>
      </c>
      <c r="E139" s="186">
        <f>SUM(E140:E154)</f>
        <v>102000</v>
      </c>
      <c r="F139" s="86"/>
    </row>
    <row r="140" spans="1:6" x14ac:dyDescent="0.25">
      <c r="A140" s="77">
        <v>54301</v>
      </c>
      <c r="B140" s="78" t="s">
        <v>212</v>
      </c>
      <c r="C140" s="79">
        <v>2800</v>
      </c>
      <c r="D140" s="79">
        <v>4500</v>
      </c>
      <c r="E140" s="204">
        <f t="shared" ref="E140:E148" si="5">+C140+D140</f>
        <v>7300</v>
      </c>
      <c r="F140" s="86"/>
    </row>
    <row r="141" spans="1:6" x14ac:dyDescent="0.25">
      <c r="A141" s="77">
        <v>54302</v>
      </c>
      <c r="B141" s="78" t="s">
        <v>213</v>
      </c>
      <c r="C141" s="79">
        <v>750</v>
      </c>
      <c r="D141" s="79">
        <v>11750</v>
      </c>
      <c r="E141" s="204">
        <f t="shared" si="5"/>
        <v>12500</v>
      </c>
      <c r="F141" s="86"/>
    </row>
    <row r="142" spans="1:6" x14ac:dyDescent="0.25">
      <c r="A142" s="77">
        <v>54303</v>
      </c>
      <c r="B142" s="78" t="s">
        <v>214</v>
      </c>
      <c r="C142" s="79">
        <v>1100</v>
      </c>
      <c r="D142" s="79">
        <v>3500</v>
      </c>
      <c r="E142" s="204">
        <f t="shared" si="5"/>
        <v>4600</v>
      </c>
      <c r="F142" s="86"/>
    </row>
    <row r="143" spans="1:6" x14ac:dyDescent="0.25">
      <c r="A143" s="77">
        <v>54304</v>
      </c>
      <c r="B143" s="78" t="s">
        <v>115</v>
      </c>
      <c r="C143" s="79">
        <v>2000</v>
      </c>
      <c r="D143" s="79">
        <v>6500</v>
      </c>
      <c r="E143" s="204">
        <f t="shared" si="5"/>
        <v>8500</v>
      </c>
      <c r="F143" s="86"/>
    </row>
    <row r="144" spans="1:6" x14ac:dyDescent="0.25">
      <c r="A144" s="77">
        <v>54305</v>
      </c>
      <c r="B144" s="78" t="s">
        <v>116</v>
      </c>
      <c r="C144" s="79">
        <v>6500</v>
      </c>
      <c r="D144" s="79">
        <v>4000</v>
      </c>
      <c r="E144" s="204">
        <f t="shared" si="5"/>
        <v>10500</v>
      </c>
      <c r="F144" s="86"/>
    </row>
    <row r="145" spans="1:6" x14ac:dyDescent="0.25">
      <c r="A145" s="77">
        <v>54306</v>
      </c>
      <c r="B145" s="78" t="s">
        <v>215</v>
      </c>
      <c r="C145" s="79"/>
      <c r="D145" s="79"/>
      <c r="E145" s="204">
        <f t="shared" si="5"/>
        <v>0</v>
      </c>
      <c r="F145" s="86"/>
    </row>
    <row r="146" spans="1:6" x14ac:dyDescent="0.25">
      <c r="A146" s="77">
        <v>54307</v>
      </c>
      <c r="B146" s="78" t="s">
        <v>216</v>
      </c>
      <c r="C146" s="79"/>
      <c r="D146" s="79"/>
      <c r="E146" s="204">
        <f t="shared" si="5"/>
        <v>0</v>
      </c>
      <c r="F146" s="86"/>
    </row>
    <row r="147" spans="1:6" x14ac:dyDescent="0.25">
      <c r="A147" s="77">
        <v>54309</v>
      </c>
      <c r="B147" s="78" t="s">
        <v>217</v>
      </c>
      <c r="C147" s="79"/>
      <c r="D147" s="79"/>
      <c r="E147" s="204">
        <f t="shared" si="5"/>
        <v>0</v>
      </c>
      <c r="F147" s="86"/>
    </row>
    <row r="148" spans="1:6" x14ac:dyDescent="0.25">
      <c r="A148" s="77">
        <v>54310</v>
      </c>
      <c r="B148" s="78" t="s">
        <v>117</v>
      </c>
      <c r="C148" s="79">
        <v>5000</v>
      </c>
      <c r="D148" s="79">
        <v>1500</v>
      </c>
      <c r="E148" s="204">
        <f t="shared" si="5"/>
        <v>6500</v>
      </c>
      <c r="F148" s="86"/>
    </row>
    <row r="149" spans="1:6" x14ac:dyDescent="0.25">
      <c r="A149" s="77">
        <v>54311</v>
      </c>
      <c r="B149" s="78" t="s">
        <v>118</v>
      </c>
      <c r="C149" s="79">
        <v>5500</v>
      </c>
      <c r="D149" s="79"/>
      <c r="E149" s="204">
        <v>8700</v>
      </c>
      <c r="F149" s="86"/>
    </row>
    <row r="150" spans="1:6" x14ac:dyDescent="0.25">
      <c r="A150" s="77">
        <v>54313</v>
      </c>
      <c r="B150" s="78" t="s">
        <v>218</v>
      </c>
      <c r="C150" s="79">
        <v>5000</v>
      </c>
      <c r="D150" s="79">
        <v>1000</v>
      </c>
      <c r="E150" s="204">
        <f>+C150+D150</f>
        <v>6000</v>
      </c>
      <c r="F150" s="86"/>
    </row>
    <row r="151" spans="1:6" x14ac:dyDescent="0.25">
      <c r="A151" s="77">
        <v>54314</v>
      </c>
      <c r="B151" s="78" t="s">
        <v>120</v>
      </c>
      <c r="C151" s="79">
        <v>15000</v>
      </c>
      <c r="D151" s="79"/>
      <c r="E151" s="204">
        <f>+C151+D151</f>
        <v>15000</v>
      </c>
      <c r="F151" s="86"/>
    </row>
    <row r="152" spans="1:6" x14ac:dyDescent="0.25">
      <c r="A152" s="77">
        <v>54316</v>
      </c>
      <c r="B152" s="78" t="s">
        <v>121</v>
      </c>
      <c r="C152" s="79">
        <v>3500</v>
      </c>
      <c r="D152" s="79">
        <v>4500</v>
      </c>
      <c r="E152" s="204">
        <f>+C152+D152</f>
        <v>8000</v>
      </c>
      <c r="F152" s="86"/>
    </row>
    <row r="153" spans="1:6" x14ac:dyDescent="0.25">
      <c r="A153" s="77">
        <v>54317</v>
      </c>
      <c r="B153" s="78" t="s">
        <v>122</v>
      </c>
      <c r="C153" s="79">
        <v>4400</v>
      </c>
      <c r="D153" s="79"/>
      <c r="E153" s="204">
        <f>+C153+D153</f>
        <v>4400</v>
      </c>
      <c r="F153" s="86"/>
    </row>
    <row r="154" spans="1:6" x14ac:dyDescent="0.25">
      <c r="A154" s="77">
        <v>54399</v>
      </c>
      <c r="B154" s="78" t="s">
        <v>219</v>
      </c>
      <c r="C154" s="79">
        <v>8750</v>
      </c>
      <c r="D154" s="79">
        <v>1250</v>
      </c>
      <c r="E154" s="204">
        <f>+C154+D154</f>
        <v>10000</v>
      </c>
      <c r="F154" s="86"/>
    </row>
    <row r="155" spans="1:6" x14ac:dyDescent="0.25">
      <c r="A155" s="129">
        <v>544</v>
      </c>
      <c r="B155" s="128" t="s">
        <v>124</v>
      </c>
      <c r="C155" s="179">
        <f>+C156+C157+C158+C159</f>
        <v>0</v>
      </c>
      <c r="D155" s="179">
        <f>+D156+D157+D158+D159</f>
        <v>500</v>
      </c>
      <c r="E155" s="186">
        <f>+E156+E157+E158+E159</f>
        <v>500</v>
      </c>
      <c r="F155" s="86"/>
    </row>
    <row r="156" spans="1:6" x14ac:dyDescent="0.25">
      <c r="A156" s="77">
        <v>54401</v>
      </c>
      <c r="B156" s="78" t="s">
        <v>220</v>
      </c>
      <c r="C156" s="79">
        <f>SUM([1]Egresos_CR!C145:E145)*[1]Egresos_CR!$I$106</f>
        <v>0</v>
      </c>
      <c r="D156" s="79">
        <f>SUM([1]Egresos_CR!F145:N145)*[1]Egresos_CR!$I$106</f>
        <v>0</v>
      </c>
      <c r="E156" s="204">
        <f>+C156+D156</f>
        <v>0</v>
      </c>
      <c r="F156" s="86"/>
    </row>
    <row r="157" spans="1:6" x14ac:dyDescent="0.25">
      <c r="A157" s="77">
        <v>54402</v>
      </c>
      <c r="B157" s="78" t="s">
        <v>221</v>
      </c>
      <c r="C157" s="79">
        <f>SUM([1]Egresos_CR!C146:E146)*[1]Egresos_CR!$I$106</f>
        <v>0</v>
      </c>
      <c r="D157" s="79">
        <f>SUM([1]Egresos_CR!F146:N146)*[1]Egresos_CR!$I$106</f>
        <v>0</v>
      </c>
      <c r="E157" s="204">
        <f>+C157+D157</f>
        <v>0</v>
      </c>
      <c r="F157" s="86"/>
    </row>
    <row r="158" spans="1:6" x14ac:dyDescent="0.25">
      <c r="A158" s="77">
        <v>54403</v>
      </c>
      <c r="B158" s="78" t="s">
        <v>125</v>
      </c>
      <c r="C158" s="79"/>
      <c r="D158" s="79">
        <v>500</v>
      </c>
      <c r="E158" s="204">
        <f>+C158+D158</f>
        <v>500</v>
      </c>
      <c r="F158" s="86"/>
    </row>
    <row r="159" spans="1:6" x14ac:dyDescent="0.25">
      <c r="A159" s="77">
        <v>54404</v>
      </c>
      <c r="B159" s="78" t="s">
        <v>222</v>
      </c>
      <c r="C159" s="79"/>
      <c r="D159" s="79">
        <f>SUM([1]Egresos_CR!F148:N148)*[1]Egresos_CR!$I$106</f>
        <v>0</v>
      </c>
      <c r="E159" s="204">
        <f>+C159+D159</f>
        <v>0</v>
      </c>
      <c r="F159" s="86"/>
    </row>
    <row r="160" spans="1:6" x14ac:dyDescent="0.25">
      <c r="A160" s="129">
        <v>545</v>
      </c>
      <c r="B160" s="128" t="s">
        <v>223</v>
      </c>
      <c r="C160" s="179">
        <f>+C161+C162+C163+C164+C165+C167</f>
        <v>11500</v>
      </c>
      <c r="D160" s="179">
        <f>+D161+D162+D163+D164</f>
        <v>0</v>
      </c>
      <c r="E160" s="186">
        <f>+E161+E162+E163+E164</f>
        <v>11500</v>
      </c>
      <c r="F160" s="86"/>
    </row>
    <row r="161" spans="1:6" x14ac:dyDescent="0.25">
      <c r="A161" s="77">
        <v>54501</v>
      </c>
      <c r="B161" s="78" t="s">
        <v>224</v>
      </c>
      <c r="C161" s="79">
        <f>SUM([1]Egresos_CR!C150:E150)*[1]Egresos_CR!$I$106</f>
        <v>0</v>
      </c>
      <c r="D161" s="79">
        <f>SUM([1]Egresos_CR!F150:N150)*[1]Egresos_CR!$I$106</f>
        <v>0</v>
      </c>
      <c r="E161" s="204">
        <f>+C161+D161</f>
        <v>0</v>
      </c>
      <c r="F161" s="86"/>
    </row>
    <row r="162" spans="1:6" x14ac:dyDescent="0.25">
      <c r="A162" s="77">
        <v>54503</v>
      </c>
      <c r="B162" s="78" t="s">
        <v>127</v>
      </c>
      <c r="C162" s="79">
        <v>6000</v>
      </c>
      <c r="D162" s="79">
        <f>SUM([1]Egresos_CR!F151:N151)*[1]Egresos_CR!$I$106</f>
        <v>0</v>
      </c>
      <c r="E162" s="204">
        <f>+C162+D162</f>
        <v>6000</v>
      </c>
      <c r="F162" s="86"/>
    </row>
    <row r="163" spans="1:6" x14ac:dyDescent="0.25">
      <c r="A163" s="77">
        <v>54504</v>
      </c>
      <c r="B163" s="78" t="s">
        <v>128</v>
      </c>
      <c r="C163" s="79">
        <v>3000</v>
      </c>
      <c r="D163" s="79">
        <f>SUM([1]Egresos_CR!F152:N152)*[1]Egresos_CR!$I$106</f>
        <v>0</v>
      </c>
      <c r="E163" s="204">
        <f>+C163+D163</f>
        <v>3000</v>
      </c>
      <c r="F163" s="86"/>
    </row>
    <row r="164" spans="1:6" x14ac:dyDescent="0.25">
      <c r="A164" s="77">
        <v>54599</v>
      </c>
      <c r="B164" s="78" t="s">
        <v>228</v>
      </c>
      <c r="C164" s="79">
        <v>2500</v>
      </c>
      <c r="D164" s="79">
        <f>SUM([1]Egresos_CR!F153:N153)*[1]Egresos_CR!$I$106</f>
        <v>0</v>
      </c>
      <c r="E164" s="204">
        <f>+C164+D164</f>
        <v>2500</v>
      </c>
      <c r="F164" s="86"/>
    </row>
    <row r="165" spans="1:6" x14ac:dyDescent="0.25">
      <c r="A165" s="129">
        <v>546</v>
      </c>
      <c r="B165" s="128" t="s">
        <v>229</v>
      </c>
      <c r="C165" s="79">
        <f>SUM([1]Egresos_CR!C154:E154)*[1]Egresos_CR!$I$106</f>
        <v>0</v>
      </c>
      <c r="D165" s="179">
        <f>+D166+D167+D168+D169+D170+D172</f>
        <v>40000</v>
      </c>
      <c r="E165" s="179">
        <f>+E166+E167+E168</f>
        <v>40000</v>
      </c>
      <c r="F165" s="86"/>
    </row>
    <row r="166" spans="1:6" x14ac:dyDescent="0.25">
      <c r="A166" s="77">
        <v>54602</v>
      </c>
      <c r="B166" s="78" t="s">
        <v>591</v>
      </c>
      <c r="C166" s="79">
        <f>SUM([1]Egresos_CR!C155:E155)*[1]Egresos_CR!$I$106</f>
        <v>0</v>
      </c>
      <c r="D166" s="79">
        <v>30000</v>
      </c>
      <c r="E166" s="204">
        <f>+C166+D166</f>
        <v>30000</v>
      </c>
      <c r="F166" s="86"/>
    </row>
    <row r="167" spans="1:6" x14ac:dyDescent="0.25">
      <c r="A167" s="77">
        <v>54603</v>
      </c>
      <c r="B167" s="78" t="s">
        <v>592</v>
      </c>
      <c r="C167" s="79"/>
      <c r="D167" s="79">
        <v>10000</v>
      </c>
      <c r="E167" s="204">
        <f>+C167+D167</f>
        <v>10000</v>
      </c>
      <c r="F167" s="86"/>
    </row>
    <row r="168" spans="1:6" x14ac:dyDescent="0.25">
      <c r="A168" s="77"/>
      <c r="B168" s="78"/>
      <c r="C168" s="79"/>
      <c r="D168" s="79"/>
      <c r="E168" s="204"/>
      <c r="F168" s="86"/>
    </row>
    <row r="169" spans="1:6" x14ac:dyDescent="0.25">
      <c r="A169" s="129">
        <v>55</v>
      </c>
      <c r="B169" s="128" t="s">
        <v>129</v>
      </c>
      <c r="C169" s="179">
        <f>+C170+C175+C179</f>
        <v>15109.27</v>
      </c>
      <c r="D169" s="179">
        <f>+D170+D175+D179</f>
        <v>0</v>
      </c>
      <c r="E169" s="186">
        <f>+E170+E175+E179</f>
        <v>15109.27</v>
      </c>
      <c r="F169" s="86"/>
    </row>
    <row r="170" spans="1:6" x14ac:dyDescent="0.25">
      <c r="A170" s="129">
        <v>553</v>
      </c>
      <c r="B170" s="128" t="s">
        <v>231</v>
      </c>
      <c r="C170" s="179">
        <f>+C171+C172+C173+C174</f>
        <v>0</v>
      </c>
      <c r="D170" s="179">
        <f>+D171+D172+D173+D174</f>
        <v>0</v>
      </c>
      <c r="E170" s="186">
        <f>+E171+E172+E173+E174</f>
        <v>0</v>
      </c>
      <c r="F170" s="86"/>
    </row>
    <row r="171" spans="1:6" x14ac:dyDescent="0.25">
      <c r="A171" s="77">
        <v>55302</v>
      </c>
      <c r="B171" s="78" t="s">
        <v>250</v>
      </c>
      <c r="C171" s="79">
        <v>0</v>
      </c>
      <c r="D171" s="79">
        <v>0</v>
      </c>
      <c r="E171" s="80">
        <f t="shared" ref="E171:E182" si="6">+C171+D171</f>
        <v>0</v>
      </c>
      <c r="F171" s="86"/>
    </row>
    <row r="172" spans="1:6" x14ac:dyDescent="0.25">
      <c r="A172" s="77">
        <v>55303</v>
      </c>
      <c r="B172" s="78" t="s">
        <v>233</v>
      </c>
      <c r="C172" s="79"/>
      <c r="D172" s="79">
        <f>SUM([1]Egresos_CR!F162:N162)*[1]Egresos_CR!$I$106</f>
        <v>0</v>
      </c>
      <c r="E172" s="204">
        <f t="shared" si="6"/>
        <v>0</v>
      </c>
      <c r="F172" s="86"/>
    </row>
    <row r="173" spans="1:6" x14ac:dyDescent="0.25">
      <c r="A173" s="77">
        <v>55304</v>
      </c>
      <c r="B173" s="78" t="s">
        <v>63</v>
      </c>
      <c r="C173" s="79">
        <v>0</v>
      </c>
      <c r="D173" s="79">
        <f>SUM([1]Egresos_CR!F163:N163)*[1]Egresos_CR!$I$106</f>
        <v>0</v>
      </c>
      <c r="E173" s="204">
        <f t="shared" si="6"/>
        <v>0</v>
      </c>
      <c r="F173" s="86"/>
    </row>
    <row r="174" spans="1:6" x14ac:dyDescent="0.25">
      <c r="A174" s="77">
        <v>55308</v>
      </c>
      <c r="B174" s="78" t="s">
        <v>234</v>
      </c>
      <c r="C174" s="79">
        <f>SUM([1]Egresos_CR!C164:E164)*[1]Egresos_CR!$I$106</f>
        <v>0</v>
      </c>
      <c r="D174" s="79">
        <f>SUM([1]Egresos_CR!F164:N164)*[1]Egresos_CR!$I$106</f>
        <v>0</v>
      </c>
      <c r="E174" s="204">
        <f t="shared" si="6"/>
        <v>0</v>
      </c>
      <c r="F174" s="86"/>
    </row>
    <row r="175" spans="1:6" x14ac:dyDescent="0.25">
      <c r="A175" s="129">
        <v>556</v>
      </c>
      <c r="B175" s="128" t="s">
        <v>235</v>
      </c>
      <c r="C175" s="179">
        <f>+C176+C177+C178</f>
        <v>14109.27</v>
      </c>
      <c r="D175" s="179">
        <f>+D178</f>
        <v>0</v>
      </c>
      <c r="E175" s="186">
        <f t="shared" si="6"/>
        <v>14109.27</v>
      </c>
      <c r="F175" s="86"/>
    </row>
    <row r="176" spans="1:6" x14ac:dyDescent="0.25">
      <c r="A176" s="77">
        <v>55601</v>
      </c>
      <c r="B176" s="78" t="s">
        <v>236</v>
      </c>
      <c r="C176" s="79">
        <v>7112.9</v>
      </c>
      <c r="D176" s="79">
        <v>0</v>
      </c>
      <c r="E176" s="204">
        <f t="shared" si="6"/>
        <v>7112.9</v>
      </c>
      <c r="F176" s="86"/>
    </row>
    <row r="177" spans="1:6" x14ac:dyDescent="0.25">
      <c r="A177" s="77">
        <v>55602</v>
      </c>
      <c r="B177" s="78" t="s">
        <v>134</v>
      </c>
      <c r="C177" s="79">
        <v>6500</v>
      </c>
      <c r="D177" s="79">
        <v>0</v>
      </c>
      <c r="E177" s="204">
        <f t="shared" si="6"/>
        <v>6500</v>
      </c>
      <c r="F177" s="86"/>
    </row>
    <row r="178" spans="1:6" x14ac:dyDescent="0.25">
      <c r="A178" s="77">
        <v>55603</v>
      </c>
      <c r="B178" s="78" t="s">
        <v>237</v>
      </c>
      <c r="C178" s="79">
        <v>496.37</v>
      </c>
      <c r="D178" s="79">
        <v>0</v>
      </c>
      <c r="E178" s="204">
        <f t="shared" si="6"/>
        <v>496.37</v>
      </c>
      <c r="F178" s="86"/>
    </row>
    <row r="179" spans="1:6" x14ac:dyDescent="0.25">
      <c r="A179" s="129">
        <v>557</v>
      </c>
      <c r="B179" s="128" t="s">
        <v>136</v>
      </c>
      <c r="C179" s="179">
        <f>+C180+C181+C182</f>
        <v>1000</v>
      </c>
      <c r="D179" s="179">
        <f>SUM([1]Egresos_CR!F169:N169)*[1]Egresos_CR!$I$106</f>
        <v>0</v>
      </c>
      <c r="E179" s="186">
        <f t="shared" si="6"/>
        <v>1000</v>
      </c>
      <c r="F179" s="86"/>
    </row>
    <row r="180" spans="1:6" x14ac:dyDescent="0.25">
      <c r="A180" s="77">
        <v>55701</v>
      </c>
      <c r="B180" s="78" t="s">
        <v>238</v>
      </c>
      <c r="C180" s="79">
        <f>SUM([1]Egresos_CR!C170:E170)*[1]Egresos_CR!$I$106</f>
        <v>0</v>
      </c>
      <c r="D180" s="79">
        <f>SUM([1]Egresos_CR!F170:N170)*[1]Egresos_CR!$I$106</f>
        <v>0</v>
      </c>
      <c r="E180" s="204">
        <f t="shared" si="6"/>
        <v>0</v>
      </c>
      <c r="F180" s="86"/>
    </row>
    <row r="181" spans="1:6" x14ac:dyDescent="0.25">
      <c r="A181" s="77">
        <v>55702</v>
      </c>
      <c r="B181" s="78" t="s">
        <v>239</v>
      </c>
      <c r="C181" s="79">
        <f>SUM([1]Egresos_CR!C171:E171)*[1]Egresos_CR!$I$106</f>
        <v>0</v>
      </c>
      <c r="D181" s="79">
        <f>SUM([1]Egresos_CR!F171:N171)*[1]Egresos_CR!$I$106</f>
        <v>0</v>
      </c>
      <c r="E181" s="204">
        <f t="shared" si="6"/>
        <v>0</v>
      </c>
      <c r="F181" s="86"/>
    </row>
    <row r="182" spans="1:6" x14ac:dyDescent="0.25">
      <c r="A182" s="77">
        <v>55799</v>
      </c>
      <c r="B182" s="78" t="s">
        <v>137</v>
      </c>
      <c r="C182" s="79">
        <v>1000</v>
      </c>
      <c r="D182" s="79">
        <f>SUM([1]Egresos_CR!F172:N172)*[1]Egresos_CR!$I$106</f>
        <v>0</v>
      </c>
      <c r="E182" s="204">
        <f t="shared" si="6"/>
        <v>1000</v>
      </c>
      <c r="F182" s="86"/>
    </row>
    <row r="183" spans="1:6" x14ac:dyDescent="0.25">
      <c r="A183" s="77"/>
      <c r="B183" s="78"/>
      <c r="C183" s="79"/>
      <c r="D183" s="79"/>
      <c r="E183" s="204"/>
      <c r="F183" s="86"/>
    </row>
    <row r="184" spans="1:6" x14ac:dyDescent="0.25">
      <c r="A184" s="129">
        <v>56</v>
      </c>
      <c r="B184" s="128" t="s">
        <v>57</v>
      </c>
      <c r="C184" s="179">
        <f>+C186+C189</f>
        <v>29036.93</v>
      </c>
      <c r="D184" s="179">
        <f>+D186+D189</f>
        <v>0</v>
      </c>
      <c r="E184" s="186">
        <f>+E186+E189</f>
        <v>29036.93</v>
      </c>
      <c r="F184" s="86"/>
    </row>
    <row r="185" spans="1:6" x14ac:dyDescent="0.25">
      <c r="A185" s="129">
        <v>562</v>
      </c>
      <c r="B185" s="128" t="s">
        <v>138</v>
      </c>
      <c r="C185" s="179">
        <f>+C187</f>
        <v>8036.93</v>
      </c>
      <c r="D185" s="179">
        <f>SUM([1]Egresos_CR!F175:N175)*[1]Egresos_CR!$I$106</f>
        <v>0</v>
      </c>
      <c r="E185" s="186">
        <f>+C185+D185</f>
        <v>8036.93</v>
      </c>
      <c r="F185" s="86"/>
    </row>
    <row r="186" spans="1:6" x14ac:dyDescent="0.25">
      <c r="A186" s="129">
        <v>562</v>
      </c>
      <c r="B186" s="128" t="s">
        <v>251</v>
      </c>
      <c r="C186" s="179">
        <f>+C187+C188</f>
        <v>8036.93</v>
      </c>
      <c r="D186" s="179"/>
      <c r="E186" s="186">
        <f>+C186+D186</f>
        <v>8036.93</v>
      </c>
      <c r="F186" s="86"/>
    </row>
    <row r="187" spans="1:6" x14ac:dyDescent="0.25">
      <c r="A187" s="77">
        <v>56201</v>
      </c>
      <c r="B187" s="78" t="s">
        <v>251</v>
      </c>
      <c r="C187" s="79">
        <v>8036.93</v>
      </c>
      <c r="D187" s="79">
        <v>0</v>
      </c>
      <c r="E187" s="204">
        <f>+C187</f>
        <v>8036.93</v>
      </c>
      <c r="F187" s="86"/>
    </row>
    <row r="188" spans="1:6" x14ac:dyDescent="0.25">
      <c r="A188" s="77">
        <v>56202</v>
      </c>
      <c r="B188" s="78" t="s">
        <v>252</v>
      </c>
      <c r="C188" s="79">
        <v>0</v>
      </c>
      <c r="D188" s="79"/>
      <c r="E188" s="204"/>
      <c r="F188" s="86"/>
    </row>
    <row r="189" spans="1:6" x14ac:dyDescent="0.25">
      <c r="A189" s="129">
        <v>563</v>
      </c>
      <c r="B189" s="128" t="s">
        <v>139</v>
      </c>
      <c r="C189" s="179">
        <f>+C190+C192</f>
        <v>21000</v>
      </c>
      <c r="D189" s="179">
        <v>0</v>
      </c>
      <c r="E189" s="186">
        <f>+E190+E192</f>
        <v>21000</v>
      </c>
      <c r="F189" s="86"/>
    </row>
    <row r="190" spans="1:6" x14ac:dyDescent="0.25">
      <c r="A190" s="77">
        <v>56303</v>
      </c>
      <c r="B190" s="78" t="s">
        <v>241</v>
      </c>
      <c r="C190" s="79">
        <v>20000</v>
      </c>
      <c r="D190" s="79"/>
      <c r="E190" s="80">
        <f>+C190</f>
        <v>20000</v>
      </c>
      <c r="F190" s="86"/>
    </row>
    <row r="191" spans="1:6" x14ac:dyDescent="0.25">
      <c r="A191" s="77">
        <v>56304</v>
      </c>
      <c r="B191" s="78" t="s">
        <v>141</v>
      </c>
      <c r="C191" s="79">
        <v>6000</v>
      </c>
      <c r="D191" s="79">
        <v>0</v>
      </c>
      <c r="E191" s="204">
        <f>+C191</f>
        <v>6000</v>
      </c>
      <c r="F191" s="86"/>
    </row>
    <row r="192" spans="1:6" ht="15.75" thickBot="1" x14ac:dyDescent="0.3">
      <c r="A192" s="81">
        <v>56305</v>
      </c>
      <c r="B192" s="82" t="s">
        <v>142</v>
      </c>
      <c r="C192" s="83">
        <v>1000</v>
      </c>
      <c r="D192" s="83">
        <v>0</v>
      </c>
      <c r="E192" s="204">
        <f>+C192</f>
        <v>1000</v>
      </c>
      <c r="F192" s="86"/>
    </row>
    <row r="193" spans="1:6" ht="15.75" thickBot="1" x14ac:dyDescent="0.3">
      <c r="A193" s="209"/>
      <c r="B193" s="102" t="s">
        <v>1</v>
      </c>
      <c r="C193" s="182">
        <f>+C111+C169+C184</f>
        <v>171563.19999999998</v>
      </c>
      <c r="D193" s="182">
        <f>+D111+D169+D184</f>
        <v>321071.7</v>
      </c>
      <c r="E193" s="183">
        <f>+E111+E169+E184</f>
        <v>575834.9</v>
      </c>
      <c r="F193" s="86"/>
    </row>
    <row r="194" spans="1:6" x14ac:dyDescent="0.25">
      <c r="A194" s="86"/>
      <c r="B194" s="86"/>
      <c r="C194" s="86"/>
      <c r="D194" s="86"/>
      <c r="E194" s="86"/>
      <c r="F194" s="86"/>
    </row>
    <row r="195" spans="1:6" x14ac:dyDescent="0.25">
      <c r="A195" s="86"/>
      <c r="B195" s="86"/>
      <c r="C195" s="86"/>
      <c r="D195" s="86"/>
      <c r="E195" s="86"/>
      <c r="F195" s="86"/>
    </row>
    <row r="196" spans="1:6" x14ac:dyDescent="0.25">
      <c r="A196" s="86"/>
      <c r="B196" s="86"/>
      <c r="C196" s="86"/>
      <c r="D196" s="86"/>
      <c r="E196" s="86"/>
      <c r="F196" s="86"/>
    </row>
    <row r="197" spans="1:6" x14ac:dyDescent="0.25">
      <c r="A197" s="86"/>
      <c r="B197" s="86"/>
      <c r="C197" s="86"/>
      <c r="D197" s="86"/>
      <c r="E197" s="86"/>
      <c r="F197" s="86"/>
    </row>
    <row r="198" spans="1:6" x14ac:dyDescent="0.25">
      <c r="A198" s="86"/>
      <c r="B198" s="86"/>
      <c r="C198" s="86"/>
      <c r="D198" s="86"/>
      <c r="E198" s="86"/>
      <c r="F198" s="86"/>
    </row>
    <row r="199" spans="1:6" x14ac:dyDescent="0.25">
      <c r="A199" s="86"/>
      <c r="B199" s="86"/>
      <c r="C199" s="86"/>
      <c r="D199" s="86"/>
      <c r="E199" s="86"/>
      <c r="F199" s="86"/>
    </row>
    <row r="200" spans="1:6" x14ac:dyDescent="0.25">
      <c r="A200" s="210"/>
      <c r="B200" s="210"/>
      <c r="C200" s="210"/>
      <c r="D200" s="210"/>
      <c r="E200" s="210"/>
      <c r="F200" s="210"/>
    </row>
    <row r="201" spans="1:6" x14ac:dyDescent="0.25">
      <c r="A201" s="210"/>
      <c r="B201" s="210"/>
      <c r="C201" s="210"/>
      <c r="D201" s="210"/>
      <c r="E201" s="210"/>
      <c r="F201" s="210"/>
    </row>
    <row r="202" spans="1:6" x14ac:dyDescent="0.25">
      <c r="A202" s="210"/>
      <c r="B202" s="210"/>
      <c r="C202" s="210"/>
      <c r="D202" s="210"/>
      <c r="E202" s="210"/>
      <c r="F202" s="210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topLeftCell="A107" zoomScale="125" zoomScaleNormal="125" workbookViewId="0">
      <selection activeCell="D120" sqref="D120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572" t="s">
        <v>170</v>
      </c>
      <c r="C1" s="572"/>
      <c r="D1" s="572"/>
      <c r="E1" s="572"/>
      <c r="F1" s="572"/>
    </row>
    <row r="2" spans="1:7" ht="16.5" x14ac:dyDescent="0.3">
      <c r="B2" s="574" t="s">
        <v>165</v>
      </c>
      <c r="C2" s="574"/>
      <c r="D2" s="574"/>
      <c r="E2" s="574"/>
      <c r="F2" s="574"/>
    </row>
    <row r="3" spans="1:7" ht="16.5" x14ac:dyDescent="0.3">
      <c r="B3" s="574" t="s">
        <v>166</v>
      </c>
      <c r="C3" s="574"/>
      <c r="D3" s="574"/>
      <c r="E3" s="574"/>
      <c r="F3" s="574"/>
    </row>
    <row r="4" spans="1:7" ht="16.5" x14ac:dyDescent="0.3">
      <c r="B4" s="1" t="s">
        <v>168</v>
      </c>
      <c r="C4" s="1"/>
      <c r="D4" s="1" t="s">
        <v>169</v>
      </c>
      <c r="E4" s="1"/>
      <c r="F4" s="1"/>
    </row>
    <row r="5" spans="1:7" ht="16.5" x14ac:dyDescent="0.3">
      <c r="B5" s="574" t="s">
        <v>698</v>
      </c>
      <c r="C5" s="574"/>
      <c r="D5" s="574"/>
      <c r="E5" s="574"/>
      <c r="F5" s="574"/>
    </row>
    <row r="6" spans="1:7" ht="17.25" thickBot="1" x14ac:dyDescent="0.35">
      <c r="B6" s="573" t="s">
        <v>171</v>
      </c>
      <c r="C6" s="573"/>
      <c r="D6" s="573"/>
      <c r="E6" s="573"/>
      <c r="F6" s="573"/>
    </row>
    <row r="7" spans="1:7" ht="16.5" x14ac:dyDescent="0.3">
      <c r="A7" s="1"/>
      <c r="B7" s="2"/>
      <c r="C7" s="3"/>
      <c r="D7" s="24"/>
      <c r="E7" s="24"/>
      <c r="F7" s="25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6" t="s">
        <v>1</v>
      </c>
      <c r="G8" s="1"/>
    </row>
    <row r="9" spans="1:7" ht="16.5" x14ac:dyDescent="0.3">
      <c r="A9" s="1"/>
      <c r="B9" s="29">
        <v>51</v>
      </c>
      <c r="C9" s="30" t="s">
        <v>71</v>
      </c>
      <c r="D9" s="31"/>
      <c r="E9" s="31"/>
      <c r="F9" s="327">
        <f>SUM(E10:E29)</f>
        <v>1837951.8</v>
      </c>
      <c r="G9" s="1"/>
    </row>
    <row r="10" spans="1:7" ht="16.5" x14ac:dyDescent="0.3">
      <c r="A10" s="1"/>
      <c r="B10" s="4">
        <v>511</v>
      </c>
      <c r="C10" s="5" t="s">
        <v>72</v>
      </c>
      <c r="D10" s="28"/>
      <c r="E10" s="19">
        <f>SUM(D11:D14)</f>
        <v>1552846.98</v>
      </c>
      <c r="F10" s="33"/>
      <c r="G10" s="1"/>
    </row>
    <row r="11" spans="1:7" ht="16.5" x14ac:dyDescent="0.3">
      <c r="A11" s="1"/>
      <c r="B11" s="6">
        <v>51101</v>
      </c>
      <c r="C11" s="7" t="s">
        <v>73</v>
      </c>
      <c r="D11" s="28">
        <v>1219326.48</v>
      </c>
      <c r="E11" s="19"/>
      <c r="F11" s="33"/>
      <c r="G11" s="1"/>
    </row>
    <row r="12" spans="1:7" ht="16.5" x14ac:dyDescent="0.3">
      <c r="A12" s="1"/>
      <c r="B12" s="6">
        <v>51103</v>
      </c>
      <c r="C12" s="7" t="s">
        <v>74</v>
      </c>
      <c r="D12" s="28">
        <v>80800</v>
      </c>
      <c r="E12" s="19"/>
      <c r="F12" s="33"/>
      <c r="G12" s="1"/>
    </row>
    <row r="13" spans="1:7" ht="16.5" x14ac:dyDescent="0.3">
      <c r="A13" s="1"/>
      <c r="B13" s="6">
        <v>51105</v>
      </c>
      <c r="C13" s="7" t="s">
        <v>75</v>
      </c>
      <c r="D13" s="28">
        <v>136032</v>
      </c>
      <c r="E13" s="19"/>
      <c r="F13" s="33"/>
      <c r="G13" s="1"/>
    </row>
    <row r="14" spans="1:7" ht="16.5" x14ac:dyDescent="0.3">
      <c r="A14" s="1"/>
      <c r="B14" s="6">
        <v>51107</v>
      </c>
      <c r="C14" s="7" t="s">
        <v>76</v>
      </c>
      <c r="D14" s="28">
        <v>116688.5</v>
      </c>
      <c r="E14" s="19"/>
      <c r="F14" s="33"/>
      <c r="G14" s="1"/>
    </row>
    <row r="15" spans="1:7" ht="16.5" x14ac:dyDescent="0.3">
      <c r="A15" s="1"/>
      <c r="B15" s="4">
        <v>512</v>
      </c>
      <c r="C15" s="5" t="s">
        <v>77</v>
      </c>
      <c r="D15" s="28"/>
      <c r="E15" s="19">
        <f>+D16</f>
        <v>25000</v>
      </c>
      <c r="F15" s="33"/>
      <c r="G15" s="1"/>
    </row>
    <row r="16" spans="1:7" ht="16.5" x14ac:dyDescent="0.3">
      <c r="A16" s="1"/>
      <c r="B16" s="6">
        <v>51201</v>
      </c>
      <c r="C16" s="7" t="s">
        <v>73</v>
      </c>
      <c r="D16" s="28">
        <v>25000</v>
      </c>
      <c r="E16" s="19"/>
      <c r="F16" s="33"/>
      <c r="G16" s="1"/>
    </row>
    <row r="17" spans="1:7" ht="16.5" x14ac:dyDescent="0.3">
      <c r="A17" s="1"/>
      <c r="B17" s="4">
        <v>513</v>
      </c>
      <c r="C17" s="5" t="s">
        <v>78</v>
      </c>
      <c r="D17" s="28"/>
      <c r="E17" s="19">
        <f>+D18</f>
        <v>12000</v>
      </c>
      <c r="F17" s="33"/>
      <c r="G17" s="1"/>
    </row>
    <row r="18" spans="1:7" ht="16.5" x14ac:dyDescent="0.3">
      <c r="A18" s="1"/>
      <c r="B18" s="6">
        <v>51301</v>
      </c>
      <c r="C18" s="7" t="s">
        <v>79</v>
      </c>
      <c r="D18" s="28">
        <v>12000</v>
      </c>
      <c r="E18" s="19"/>
      <c r="F18" s="33"/>
      <c r="G18" s="1"/>
    </row>
    <row r="19" spans="1:7" ht="16.5" x14ac:dyDescent="0.3">
      <c r="A19" s="1"/>
      <c r="B19" s="4">
        <v>514</v>
      </c>
      <c r="C19" s="5" t="s">
        <v>161</v>
      </c>
      <c r="D19" s="28"/>
      <c r="E19" s="19">
        <f>+D20</f>
        <v>112982.37</v>
      </c>
      <c r="F19" s="33"/>
      <c r="G19" s="1"/>
    </row>
    <row r="20" spans="1:7" ht="16.5" x14ac:dyDescent="0.3">
      <c r="A20" s="1"/>
      <c r="B20" s="6">
        <v>51401</v>
      </c>
      <c r="C20" s="7" t="s">
        <v>80</v>
      </c>
      <c r="D20" s="28">
        <v>112982.37</v>
      </c>
      <c r="E20" s="19"/>
      <c r="F20" s="33"/>
      <c r="G20" s="1"/>
    </row>
    <row r="21" spans="1:7" ht="16.5" x14ac:dyDescent="0.3">
      <c r="A21" s="1"/>
      <c r="B21" s="4">
        <v>515</v>
      </c>
      <c r="C21" s="5" t="s">
        <v>162</v>
      </c>
      <c r="D21" s="28"/>
      <c r="E21" s="19">
        <f>+D22</f>
        <v>95122.45</v>
      </c>
      <c r="F21" s="33"/>
      <c r="G21" s="1"/>
    </row>
    <row r="22" spans="1:7" ht="16.5" x14ac:dyDescent="0.3">
      <c r="A22" s="1"/>
      <c r="B22" s="6">
        <v>51501</v>
      </c>
      <c r="C22" s="7" t="s">
        <v>80</v>
      </c>
      <c r="D22" s="28">
        <v>95122.45</v>
      </c>
      <c r="E22" s="19"/>
      <c r="F22" s="33"/>
      <c r="G22" s="1"/>
    </row>
    <row r="23" spans="1:7" ht="16.5" x14ac:dyDescent="0.3">
      <c r="A23" s="1"/>
      <c r="B23" s="4">
        <v>516</v>
      </c>
      <c r="C23" s="5" t="s">
        <v>81</v>
      </c>
      <c r="D23" s="28"/>
      <c r="E23" s="19">
        <f>SUM(D24:D25)</f>
        <v>15000</v>
      </c>
      <c r="F23" s="33"/>
      <c r="G23" s="1"/>
    </row>
    <row r="24" spans="1:7" ht="16.5" x14ac:dyDescent="0.3">
      <c r="A24" s="1"/>
      <c r="B24" s="6">
        <v>51601</v>
      </c>
      <c r="C24" s="7" t="s">
        <v>82</v>
      </c>
      <c r="D24" s="28">
        <v>12000</v>
      </c>
      <c r="E24" s="19"/>
      <c r="F24" s="33"/>
      <c r="G24" s="1"/>
    </row>
    <row r="25" spans="1:7" ht="16.5" x14ac:dyDescent="0.3">
      <c r="A25" s="1"/>
      <c r="B25" s="6">
        <v>51602</v>
      </c>
      <c r="C25" s="7" t="s">
        <v>83</v>
      </c>
      <c r="D25" s="28">
        <v>3000</v>
      </c>
      <c r="E25" s="19"/>
      <c r="F25" s="33"/>
      <c r="G25" s="1"/>
    </row>
    <row r="26" spans="1:7" ht="16.5" x14ac:dyDescent="0.3">
      <c r="A26" s="1"/>
      <c r="B26" s="4">
        <v>517</v>
      </c>
      <c r="C26" s="5" t="s">
        <v>84</v>
      </c>
      <c r="D26" s="28"/>
      <c r="E26" s="19">
        <f>+D27</f>
        <v>25000</v>
      </c>
      <c r="F26" s="33"/>
      <c r="G26" s="1"/>
    </row>
    <row r="27" spans="1:7" ht="16.5" x14ac:dyDescent="0.3">
      <c r="A27" s="1"/>
      <c r="B27" s="6">
        <v>51701</v>
      </c>
      <c r="C27" s="7" t="s">
        <v>85</v>
      </c>
      <c r="D27" s="28">
        <v>25000</v>
      </c>
      <c r="E27" s="19"/>
      <c r="F27" s="33"/>
      <c r="G27" s="1"/>
    </row>
    <row r="28" spans="1:7" ht="16.5" x14ac:dyDescent="0.3">
      <c r="A28" s="1"/>
      <c r="B28" s="4">
        <v>519</v>
      </c>
      <c r="C28" s="5" t="s">
        <v>86</v>
      </c>
      <c r="D28" s="28"/>
      <c r="E28" s="19">
        <f>+D29</f>
        <v>0</v>
      </c>
      <c r="F28" s="33"/>
      <c r="G28" s="1"/>
    </row>
    <row r="29" spans="1:7" ht="16.5" x14ac:dyDescent="0.3">
      <c r="A29" s="1"/>
      <c r="B29" s="6">
        <v>51901</v>
      </c>
      <c r="C29" s="7" t="s">
        <v>87</v>
      </c>
      <c r="D29" s="28"/>
      <c r="E29" s="19"/>
      <c r="F29" s="33"/>
      <c r="G29" s="1"/>
    </row>
    <row r="30" spans="1:7" ht="16.5" x14ac:dyDescent="0.3">
      <c r="A30" s="1"/>
      <c r="B30" s="6"/>
      <c r="C30" s="7"/>
      <c r="D30" s="28"/>
      <c r="E30" s="19"/>
      <c r="F30" s="33"/>
      <c r="G30" s="1"/>
    </row>
    <row r="31" spans="1:7" ht="16.5" x14ac:dyDescent="0.3">
      <c r="A31" s="1"/>
      <c r="B31" s="4">
        <v>54</v>
      </c>
      <c r="C31" s="5" t="s">
        <v>88</v>
      </c>
      <c r="D31" s="28"/>
      <c r="E31" s="19"/>
      <c r="F31" s="33">
        <f>SUM(E32:E75)</f>
        <v>984998.58000000007</v>
      </c>
      <c r="G31" s="1"/>
    </row>
    <row r="32" spans="1:7" ht="16.5" x14ac:dyDescent="0.3">
      <c r="A32" s="1"/>
      <c r="B32" s="4">
        <v>541</v>
      </c>
      <c r="C32" s="5" t="s">
        <v>89</v>
      </c>
      <c r="D32" s="28"/>
      <c r="E32" s="19">
        <f>SUM(D33:D50)</f>
        <v>231804.58000000002</v>
      </c>
      <c r="F32" s="33"/>
      <c r="G32" s="1"/>
    </row>
    <row r="33" spans="1:7" ht="16.5" x14ac:dyDescent="0.3">
      <c r="A33" s="1"/>
      <c r="B33" s="6">
        <v>54101</v>
      </c>
      <c r="C33" s="7" t="s">
        <v>90</v>
      </c>
      <c r="D33" s="28">
        <v>12290.76</v>
      </c>
      <c r="E33" s="19"/>
      <c r="F33" s="33"/>
      <c r="G33" s="1"/>
    </row>
    <row r="34" spans="1:7" ht="16.5" x14ac:dyDescent="0.3">
      <c r="A34" s="1"/>
      <c r="B34" s="6">
        <v>54103</v>
      </c>
      <c r="C34" s="7" t="s">
        <v>617</v>
      </c>
      <c r="D34" s="28">
        <v>192</v>
      </c>
      <c r="E34" s="19"/>
      <c r="F34" s="33"/>
      <c r="G34" s="1"/>
    </row>
    <row r="35" spans="1:7" ht="16.5" x14ac:dyDescent="0.3">
      <c r="A35" s="1"/>
      <c r="B35" s="6">
        <v>54104</v>
      </c>
      <c r="C35" s="7" t="s">
        <v>91</v>
      </c>
      <c r="D35" s="28">
        <v>29239.46</v>
      </c>
      <c r="E35" s="19"/>
      <c r="F35" s="33"/>
      <c r="G35" s="1"/>
    </row>
    <row r="36" spans="1:7" ht="16.5" x14ac:dyDescent="0.3">
      <c r="A36" s="1"/>
      <c r="B36" s="6">
        <v>54105</v>
      </c>
      <c r="C36" s="7" t="s">
        <v>92</v>
      </c>
      <c r="D36" s="28">
        <v>15840.89</v>
      </c>
      <c r="E36" s="19"/>
      <c r="F36" s="33"/>
      <c r="G36" s="1"/>
    </row>
    <row r="37" spans="1:7" ht="16.5" x14ac:dyDescent="0.3">
      <c r="A37" s="1"/>
      <c r="B37" s="6">
        <v>54106</v>
      </c>
      <c r="C37" s="7" t="s">
        <v>93</v>
      </c>
      <c r="D37" s="28">
        <v>2959.14</v>
      </c>
      <c r="E37" s="19"/>
      <c r="F37" s="33"/>
      <c r="G37" s="1"/>
    </row>
    <row r="38" spans="1:7" ht="16.5" x14ac:dyDescent="0.3">
      <c r="A38" s="1"/>
      <c r="B38" s="6">
        <v>54107</v>
      </c>
      <c r="C38" s="7" t="s">
        <v>94</v>
      </c>
      <c r="D38" s="28">
        <v>24609.82</v>
      </c>
      <c r="E38" s="19"/>
      <c r="F38" s="33"/>
      <c r="G38" s="1"/>
    </row>
    <row r="39" spans="1:7" ht="16.5" x14ac:dyDescent="0.3">
      <c r="A39" s="1"/>
      <c r="B39" s="6">
        <v>54108</v>
      </c>
      <c r="C39" s="7" t="s">
        <v>95</v>
      </c>
      <c r="D39" s="28"/>
      <c r="E39" s="19"/>
      <c r="F39" s="33"/>
      <c r="G39" s="1"/>
    </row>
    <row r="40" spans="1:7" ht="16.5" x14ac:dyDescent="0.3">
      <c r="A40" s="1"/>
      <c r="B40" s="6">
        <v>54109</v>
      </c>
      <c r="C40" s="7" t="s">
        <v>96</v>
      </c>
      <c r="D40" s="28">
        <v>3000</v>
      </c>
      <c r="E40" s="19"/>
      <c r="F40" s="33"/>
      <c r="G40" s="1"/>
    </row>
    <row r="41" spans="1:7" ht="16.5" x14ac:dyDescent="0.3">
      <c r="A41" s="1"/>
      <c r="B41" s="6">
        <v>54110</v>
      </c>
      <c r="C41" s="7" t="s">
        <v>97</v>
      </c>
      <c r="D41" s="28">
        <v>64570.2</v>
      </c>
      <c r="E41" s="19"/>
      <c r="F41" s="33"/>
      <c r="G41" s="1"/>
    </row>
    <row r="42" spans="1:7" ht="16.5" x14ac:dyDescent="0.3">
      <c r="A42" s="1"/>
      <c r="B42" s="6">
        <v>54111</v>
      </c>
      <c r="C42" s="7" t="s">
        <v>98</v>
      </c>
      <c r="D42" s="28">
        <v>1493.4</v>
      </c>
      <c r="E42" s="19"/>
      <c r="F42" s="33"/>
      <c r="G42" s="1"/>
    </row>
    <row r="43" spans="1:7" ht="16.5" x14ac:dyDescent="0.3">
      <c r="A43" s="1"/>
      <c r="B43" s="6">
        <v>54112</v>
      </c>
      <c r="C43" s="7" t="s">
        <v>99</v>
      </c>
      <c r="D43" s="28">
        <v>1000</v>
      </c>
      <c r="E43" s="19"/>
      <c r="F43" s="33"/>
      <c r="G43" s="1"/>
    </row>
    <row r="44" spans="1:7" ht="16.5" x14ac:dyDescent="0.3">
      <c r="A44" s="1"/>
      <c r="B44" s="6">
        <v>54114</v>
      </c>
      <c r="C44" s="7" t="s">
        <v>100</v>
      </c>
      <c r="D44" s="28">
        <v>5255.48</v>
      </c>
      <c r="E44" s="19"/>
      <c r="F44" s="33"/>
      <c r="G44" s="1"/>
    </row>
    <row r="45" spans="1:7" ht="16.5" x14ac:dyDescent="0.3">
      <c r="A45" s="1"/>
      <c r="B45" s="6">
        <v>54115</v>
      </c>
      <c r="C45" s="7" t="s">
        <v>101</v>
      </c>
      <c r="D45" s="28">
        <v>9259.0400000000009</v>
      </c>
      <c r="E45" s="19"/>
      <c r="F45" s="33"/>
      <c r="G45" s="1"/>
    </row>
    <row r="46" spans="1:7" ht="16.5" x14ac:dyDescent="0.3">
      <c r="A46" s="1"/>
      <c r="B46" s="6">
        <v>54117</v>
      </c>
      <c r="C46" s="7" t="s">
        <v>102</v>
      </c>
      <c r="D46" s="28">
        <v>500</v>
      </c>
      <c r="E46" s="19"/>
      <c r="F46" s="33"/>
      <c r="G46" s="1"/>
    </row>
    <row r="47" spans="1:7" ht="16.5" x14ac:dyDescent="0.3">
      <c r="A47" s="1"/>
      <c r="B47" s="6">
        <v>54118</v>
      </c>
      <c r="C47" s="7" t="s">
        <v>103</v>
      </c>
      <c r="D47" s="28">
        <v>8398.81</v>
      </c>
      <c r="E47" s="19"/>
      <c r="F47" s="33"/>
      <c r="G47" s="1"/>
    </row>
    <row r="48" spans="1:7" ht="16.5" x14ac:dyDescent="0.3">
      <c r="A48" s="1"/>
      <c r="B48" s="6">
        <v>54119</v>
      </c>
      <c r="C48" s="7" t="s">
        <v>104</v>
      </c>
      <c r="D48" s="28">
        <v>16215.5</v>
      </c>
      <c r="E48" s="19"/>
      <c r="F48" s="33"/>
      <c r="G48" s="1"/>
    </row>
    <row r="49" spans="1:7" ht="16.5" x14ac:dyDescent="0.3">
      <c r="A49" s="1"/>
      <c r="B49" s="6">
        <v>54121</v>
      </c>
      <c r="C49" s="7" t="s">
        <v>105</v>
      </c>
      <c r="D49" s="28">
        <v>33444</v>
      </c>
      <c r="E49" s="19"/>
      <c r="F49" s="33"/>
      <c r="G49" s="1"/>
    </row>
    <row r="50" spans="1:7" ht="16.5" x14ac:dyDescent="0.3">
      <c r="A50" s="1"/>
      <c r="B50" s="6">
        <v>54199</v>
      </c>
      <c r="C50" s="7" t="s">
        <v>106</v>
      </c>
      <c r="D50" s="28">
        <v>3536.08</v>
      </c>
      <c r="E50" s="19"/>
      <c r="F50" s="33"/>
      <c r="G50" s="1"/>
    </row>
    <row r="51" spans="1:7" ht="16.5" x14ac:dyDescent="0.3">
      <c r="A51" s="1"/>
      <c r="B51" s="4">
        <v>542</v>
      </c>
      <c r="C51" s="5" t="s">
        <v>47</v>
      </c>
      <c r="D51" s="28"/>
      <c r="E51" s="19">
        <f>SUM(D52:D55)</f>
        <v>427600</v>
      </c>
      <c r="F51" s="33"/>
      <c r="G51" s="1"/>
    </row>
    <row r="52" spans="1:7" ht="16.5" x14ac:dyDescent="0.3">
      <c r="A52" s="1"/>
      <c r="B52" s="6">
        <v>54201</v>
      </c>
      <c r="C52" s="7" t="s">
        <v>107</v>
      </c>
      <c r="D52" s="36">
        <v>298000</v>
      </c>
      <c r="E52" s="19"/>
      <c r="F52" s="33"/>
      <c r="G52" s="1"/>
    </row>
    <row r="53" spans="1:7" ht="16.5" x14ac:dyDescent="0.3">
      <c r="A53" s="1"/>
      <c r="B53" s="6">
        <v>54202</v>
      </c>
      <c r="C53" s="7" t="s">
        <v>108</v>
      </c>
      <c r="D53" s="36">
        <v>3600</v>
      </c>
      <c r="E53" s="19"/>
      <c r="F53" s="33"/>
      <c r="G53" s="1"/>
    </row>
    <row r="54" spans="1:7" ht="16.5" x14ac:dyDescent="0.3">
      <c r="A54" s="1"/>
      <c r="B54" s="6">
        <v>54203</v>
      </c>
      <c r="C54" s="7" t="s">
        <v>109</v>
      </c>
      <c r="D54" s="36">
        <v>10000</v>
      </c>
      <c r="E54" s="19"/>
      <c r="F54" s="33"/>
      <c r="G54" s="1"/>
    </row>
    <row r="55" spans="1:7" ht="16.5" x14ac:dyDescent="0.3">
      <c r="A55" s="1"/>
      <c r="B55" s="6">
        <v>54205</v>
      </c>
      <c r="C55" s="7" t="s">
        <v>110</v>
      </c>
      <c r="D55" s="36">
        <v>116000</v>
      </c>
      <c r="E55" s="19"/>
      <c r="F55" s="33"/>
      <c r="G55" s="1"/>
    </row>
    <row r="56" spans="1:7" ht="16.5" x14ac:dyDescent="0.3">
      <c r="A56" s="1"/>
      <c r="B56" s="4">
        <v>543</v>
      </c>
      <c r="C56" s="5" t="s">
        <v>111</v>
      </c>
      <c r="D56" s="36"/>
      <c r="E56" s="19">
        <f>SUM(D57:D68)</f>
        <v>50881</v>
      </c>
      <c r="F56" s="33"/>
      <c r="G56" s="1"/>
    </row>
    <row r="57" spans="1:7" ht="16.5" x14ac:dyDescent="0.3">
      <c r="A57" s="1"/>
      <c r="B57" s="6">
        <v>54301</v>
      </c>
      <c r="C57" s="7" t="s">
        <v>112</v>
      </c>
      <c r="D57" s="36">
        <v>6665</v>
      </c>
      <c r="E57" s="36"/>
      <c r="F57" s="33"/>
      <c r="G57" s="1"/>
    </row>
    <row r="58" spans="1:7" ht="16.5" x14ac:dyDescent="0.3">
      <c r="A58" s="1"/>
      <c r="B58" s="6">
        <v>54302</v>
      </c>
      <c r="C58" s="7" t="s">
        <v>113</v>
      </c>
      <c r="D58" s="36">
        <v>27000</v>
      </c>
      <c r="E58" s="19"/>
      <c r="F58" s="33"/>
      <c r="G58" s="1"/>
    </row>
    <row r="59" spans="1:7" ht="16.5" x14ac:dyDescent="0.3">
      <c r="A59" s="1"/>
      <c r="B59" s="6">
        <v>54303</v>
      </c>
      <c r="C59" s="7" t="s">
        <v>114</v>
      </c>
      <c r="D59" s="36">
        <v>2000</v>
      </c>
      <c r="E59" s="19"/>
      <c r="F59" s="33"/>
      <c r="G59" s="1"/>
    </row>
    <row r="60" spans="1:7" ht="16.5" x14ac:dyDescent="0.3">
      <c r="A60" s="1"/>
      <c r="B60" s="6">
        <v>54304</v>
      </c>
      <c r="C60" s="7" t="s">
        <v>115</v>
      </c>
      <c r="D60" s="36">
        <v>1000</v>
      </c>
      <c r="E60" s="19"/>
      <c r="F60" s="33"/>
      <c r="G60" s="1"/>
    </row>
    <row r="61" spans="1:7" ht="16.5" x14ac:dyDescent="0.3">
      <c r="A61" s="1"/>
      <c r="B61" s="6">
        <v>54305</v>
      </c>
      <c r="C61" s="7" t="s">
        <v>116</v>
      </c>
      <c r="D61" s="36">
        <v>1000</v>
      </c>
      <c r="E61" s="19"/>
      <c r="F61" s="33"/>
      <c r="G61" s="1"/>
    </row>
    <row r="62" spans="1:7" ht="16.5" x14ac:dyDescent="0.3">
      <c r="A62" s="1"/>
      <c r="B62" s="6">
        <v>54310</v>
      </c>
      <c r="C62" s="7" t="s">
        <v>117</v>
      </c>
      <c r="D62" s="36">
        <v>1000</v>
      </c>
      <c r="E62" s="19"/>
      <c r="F62" s="33"/>
      <c r="G62" s="1"/>
    </row>
    <row r="63" spans="1:7" ht="16.5" x14ac:dyDescent="0.3">
      <c r="A63" s="1"/>
      <c r="B63" s="6">
        <v>54311</v>
      </c>
      <c r="C63" s="7" t="s">
        <v>118</v>
      </c>
      <c r="D63" s="36"/>
      <c r="E63" s="19"/>
      <c r="F63" s="33"/>
      <c r="G63" s="1"/>
    </row>
    <row r="64" spans="1:7" ht="16.5" x14ac:dyDescent="0.3">
      <c r="A64" s="1"/>
      <c r="B64" s="6">
        <v>54313</v>
      </c>
      <c r="C64" s="7" t="s">
        <v>119</v>
      </c>
      <c r="D64" s="36">
        <v>1216</v>
      </c>
      <c r="E64" s="19"/>
      <c r="F64" s="33"/>
      <c r="G64" s="1"/>
    </row>
    <row r="65" spans="1:7" ht="16.5" x14ac:dyDescent="0.3">
      <c r="A65" s="1"/>
      <c r="B65" s="6">
        <v>54314</v>
      </c>
      <c r="C65" s="7" t="s">
        <v>120</v>
      </c>
      <c r="D65" s="36">
        <v>2000</v>
      </c>
      <c r="E65" s="19"/>
      <c r="F65" s="33"/>
      <c r="G65" s="1"/>
    </row>
    <row r="66" spans="1:7" ht="16.5" x14ac:dyDescent="0.3">
      <c r="A66" s="1"/>
      <c r="B66" s="6">
        <v>54316</v>
      </c>
      <c r="C66" s="7" t="s">
        <v>121</v>
      </c>
      <c r="D66" s="36">
        <v>1500</v>
      </c>
      <c r="E66" s="19"/>
      <c r="F66" s="33"/>
      <c r="G66" s="1"/>
    </row>
    <row r="67" spans="1:7" ht="16.5" x14ac:dyDescent="0.3">
      <c r="A67" s="1"/>
      <c r="B67" s="6">
        <v>54317</v>
      </c>
      <c r="C67" s="7" t="s">
        <v>122</v>
      </c>
      <c r="D67" s="36">
        <v>3500</v>
      </c>
      <c r="E67" s="19"/>
      <c r="F67" s="33"/>
      <c r="G67" s="1"/>
    </row>
    <row r="68" spans="1:7" ht="16.5" x14ac:dyDescent="0.3">
      <c r="A68" s="1"/>
      <c r="B68" s="6">
        <v>54399</v>
      </c>
      <c r="C68" s="7" t="s">
        <v>123</v>
      </c>
      <c r="D68" s="36">
        <v>4000</v>
      </c>
      <c r="E68" s="19"/>
      <c r="F68" s="33"/>
      <c r="G68" s="1"/>
    </row>
    <row r="69" spans="1:7" ht="16.5" x14ac:dyDescent="0.3">
      <c r="A69" s="1"/>
      <c r="B69" s="4">
        <v>544</v>
      </c>
      <c r="C69" s="5" t="s">
        <v>124</v>
      </c>
      <c r="D69" s="36"/>
      <c r="E69" s="19">
        <f>+D70</f>
        <v>500</v>
      </c>
      <c r="F69" s="33"/>
      <c r="G69" s="1"/>
    </row>
    <row r="70" spans="1:7" ht="16.5" x14ac:dyDescent="0.3">
      <c r="A70" s="1"/>
      <c r="B70" s="6">
        <v>54403</v>
      </c>
      <c r="C70" s="7" t="s">
        <v>125</v>
      </c>
      <c r="D70" s="36">
        <v>500</v>
      </c>
      <c r="E70" s="19"/>
      <c r="F70" s="33"/>
      <c r="G70" s="1"/>
    </row>
    <row r="71" spans="1:7" ht="16.5" x14ac:dyDescent="0.3">
      <c r="A71" s="1"/>
      <c r="B71" s="4">
        <v>545</v>
      </c>
      <c r="C71" s="5" t="s">
        <v>126</v>
      </c>
      <c r="D71" s="36"/>
      <c r="E71" s="19">
        <f>SUM(D72:D74)</f>
        <v>16800</v>
      </c>
      <c r="F71" s="33"/>
      <c r="G71" s="1"/>
    </row>
    <row r="72" spans="1:7" ht="16.5" x14ac:dyDescent="0.3">
      <c r="A72" s="1"/>
      <c r="B72" s="6">
        <v>54503</v>
      </c>
      <c r="C72" s="7" t="s">
        <v>127</v>
      </c>
      <c r="D72" s="36">
        <v>8400</v>
      </c>
      <c r="E72" s="19"/>
      <c r="F72" s="33"/>
      <c r="G72" s="1"/>
    </row>
    <row r="73" spans="1:7" ht="16.5" x14ac:dyDescent="0.3">
      <c r="A73" s="1"/>
      <c r="B73" s="6">
        <v>54504</v>
      </c>
      <c r="C73" s="7" t="s">
        <v>128</v>
      </c>
      <c r="D73" s="36">
        <v>8400</v>
      </c>
      <c r="E73" s="19"/>
      <c r="F73" s="33"/>
      <c r="G73" s="1"/>
    </row>
    <row r="74" spans="1:7" ht="16.5" x14ac:dyDescent="0.3">
      <c r="A74" s="1"/>
      <c r="B74" s="6">
        <v>54599</v>
      </c>
      <c r="C74" s="7" t="s">
        <v>126</v>
      </c>
      <c r="D74" s="36"/>
      <c r="E74" s="19"/>
      <c r="F74" s="33"/>
      <c r="G74" s="1"/>
    </row>
    <row r="75" spans="1:7" ht="16.5" x14ac:dyDescent="0.3">
      <c r="A75" s="1"/>
      <c r="B75" s="4">
        <v>546</v>
      </c>
      <c r="C75" s="5" t="s">
        <v>229</v>
      </c>
      <c r="D75" s="36"/>
      <c r="E75" s="19">
        <f>+D76+D77</f>
        <v>257413</v>
      </c>
      <c r="F75" s="33"/>
      <c r="G75" s="1"/>
    </row>
    <row r="76" spans="1:7" ht="16.5" x14ac:dyDescent="0.3">
      <c r="A76" s="1"/>
      <c r="B76" s="77">
        <v>54602</v>
      </c>
      <c r="C76" s="78" t="s">
        <v>585</v>
      </c>
      <c r="D76" s="36">
        <v>257413</v>
      </c>
      <c r="E76" s="19"/>
      <c r="F76" s="33"/>
      <c r="G76" s="1"/>
    </row>
    <row r="77" spans="1:7" ht="16.5" x14ac:dyDescent="0.3">
      <c r="A77" s="1"/>
      <c r="B77" s="77">
        <v>54603</v>
      </c>
      <c r="C77" s="78" t="s">
        <v>230</v>
      </c>
      <c r="D77" s="36"/>
      <c r="E77" s="19"/>
      <c r="F77" s="33"/>
      <c r="G77" s="1"/>
    </row>
    <row r="78" spans="1:7" ht="16.5" x14ac:dyDescent="0.3">
      <c r="A78" s="1"/>
      <c r="B78" s="4">
        <v>55</v>
      </c>
      <c r="C78" s="5" t="s">
        <v>129</v>
      </c>
      <c r="D78" s="36"/>
      <c r="E78" s="19"/>
      <c r="F78" s="33">
        <f>SUM(E79:E88)</f>
        <v>20671.21</v>
      </c>
      <c r="G78" s="1"/>
    </row>
    <row r="79" spans="1:7" ht="16.5" x14ac:dyDescent="0.3">
      <c r="A79" s="1"/>
      <c r="B79" s="4">
        <v>553</v>
      </c>
      <c r="C79" s="5" t="s">
        <v>130</v>
      </c>
      <c r="D79" s="36"/>
      <c r="E79" s="19">
        <f>SUM(D80:D82)</f>
        <v>3913.75</v>
      </c>
      <c r="F79" s="33"/>
      <c r="G79" s="1"/>
    </row>
    <row r="80" spans="1:7" ht="16.5" x14ac:dyDescent="0.3">
      <c r="A80" s="1"/>
      <c r="B80" s="6">
        <v>55302</v>
      </c>
      <c r="C80" s="7" t="s">
        <v>131</v>
      </c>
      <c r="D80" s="36"/>
      <c r="E80" s="19"/>
      <c r="F80" s="33"/>
      <c r="G80" s="1"/>
    </row>
    <row r="81" spans="1:7" ht="16.5" x14ac:dyDescent="0.3">
      <c r="A81" s="1"/>
      <c r="B81" s="405">
        <v>55303</v>
      </c>
      <c r="C81" s="223" t="s">
        <v>233</v>
      </c>
      <c r="D81" s="36"/>
      <c r="E81" s="19"/>
      <c r="F81" s="33"/>
      <c r="G81" s="1"/>
    </row>
    <row r="82" spans="1:7" ht="16.5" x14ac:dyDescent="0.3">
      <c r="A82" s="1"/>
      <c r="B82" s="6">
        <v>55304</v>
      </c>
      <c r="C82" s="7" t="s">
        <v>63</v>
      </c>
      <c r="D82" s="36">
        <v>3913.75</v>
      </c>
      <c r="E82" s="19"/>
      <c r="F82" s="33"/>
      <c r="G82" s="1"/>
    </row>
    <row r="83" spans="1:7" ht="16.5" x14ac:dyDescent="0.3">
      <c r="A83" s="1"/>
      <c r="B83" s="4">
        <v>556</v>
      </c>
      <c r="C83" s="5" t="s">
        <v>132</v>
      </c>
      <c r="D83" s="36"/>
      <c r="E83" s="19">
        <f>SUM(D84:D86)</f>
        <v>16757.46</v>
      </c>
      <c r="F83" s="33"/>
      <c r="G83" s="1"/>
    </row>
    <row r="84" spans="1:7" ht="16.5" x14ac:dyDescent="0.3">
      <c r="A84" s="1"/>
      <c r="B84" s="6">
        <v>55601</v>
      </c>
      <c r="C84" s="7" t="s">
        <v>133</v>
      </c>
      <c r="D84" s="36">
        <v>12000</v>
      </c>
      <c r="E84" s="19"/>
      <c r="F84" s="33"/>
      <c r="G84" s="1"/>
    </row>
    <row r="85" spans="1:7" ht="16.5" x14ac:dyDescent="0.3">
      <c r="A85" s="1"/>
      <c r="B85" s="6">
        <v>55602</v>
      </c>
      <c r="C85" s="7" t="s">
        <v>134</v>
      </c>
      <c r="D85" s="36">
        <v>4000</v>
      </c>
      <c r="E85" s="19"/>
      <c r="F85" s="33"/>
      <c r="G85" s="1"/>
    </row>
    <row r="86" spans="1:7" ht="16.5" x14ac:dyDescent="0.3">
      <c r="A86" s="1"/>
      <c r="B86" s="6">
        <v>55603</v>
      </c>
      <c r="C86" s="7" t="s">
        <v>135</v>
      </c>
      <c r="D86" s="36">
        <v>757.46</v>
      </c>
      <c r="E86" s="19"/>
      <c r="F86" s="33"/>
      <c r="G86" s="1"/>
    </row>
    <row r="87" spans="1:7" ht="16.5" x14ac:dyDescent="0.3">
      <c r="A87" s="1"/>
      <c r="B87" s="4">
        <v>557</v>
      </c>
      <c r="C87" s="5" t="s">
        <v>136</v>
      </c>
      <c r="D87" s="36"/>
      <c r="E87" s="19">
        <f>+D88</f>
        <v>0</v>
      </c>
      <c r="F87" s="33"/>
      <c r="G87" s="1"/>
    </row>
    <row r="88" spans="1:7" ht="16.5" x14ac:dyDescent="0.3">
      <c r="A88" s="1"/>
      <c r="B88" s="6">
        <v>55799</v>
      </c>
      <c r="C88" s="7" t="s">
        <v>137</v>
      </c>
      <c r="D88" s="36"/>
      <c r="E88" s="19"/>
      <c r="F88" s="33"/>
      <c r="G88" s="1"/>
    </row>
    <row r="89" spans="1:7" ht="16.5" x14ac:dyDescent="0.3">
      <c r="A89" s="1"/>
      <c r="B89" s="6"/>
      <c r="C89" s="7"/>
      <c r="D89" s="36"/>
      <c r="E89" s="19"/>
      <c r="F89" s="33"/>
      <c r="G89" s="1"/>
    </row>
    <row r="90" spans="1:7" ht="16.5" x14ac:dyDescent="0.3">
      <c r="A90" s="1"/>
      <c r="B90" s="4">
        <v>56</v>
      </c>
      <c r="C90" s="5" t="s">
        <v>57</v>
      </c>
      <c r="D90" s="36"/>
      <c r="E90" s="19"/>
      <c r="F90" s="33">
        <f>SUM(E91:E96)</f>
        <v>4000</v>
      </c>
      <c r="G90" s="1"/>
    </row>
    <row r="91" spans="1:7" ht="16.5" x14ac:dyDescent="0.3">
      <c r="A91" s="1"/>
      <c r="B91" s="4">
        <v>562</v>
      </c>
      <c r="C91" s="5" t="s">
        <v>138</v>
      </c>
      <c r="D91" s="36"/>
      <c r="E91" s="19">
        <f>+D92</f>
        <v>0</v>
      </c>
      <c r="F91" s="33"/>
      <c r="G91" s="1"/>
    </row>
    <row r="92" spans="1:7" ht="16.5" x14ac:dyDescent="0.3">
      <c r="A92" s="1"/>
      <c r="B92" s="6">
        <v>56201</v>
      </c>
      <c r="C92" s="7" t="s">
        <v>140</v>
      </c>
      <c r="D92" s="36"/>
      <c r="E92" s="19"/>
      <c r="F92" s="33"/>
      <c r="G92" s="1"/>
    </row>
    <row r="93" spans="1:7" ht="16.5" x14ac:dyDescent="0.3">
      <c r="A93" s="1"/>
      <c r="B93" s="4">
        <v>563</v>
      </c>
      <c r="C93" s="5" t="s">
        <v>139</v>
      </c>
      <c r="D93" s="36"/>
      <c r="E93" s="19">
        <f>SUM(D94:D96)</f>
        <v>4000</v>
      </c>
      <c r="F93" s="33"/>
      <c r="G93" s="1"/>
    </row>
    <row r="94" spans="1:7" ht="16.5" x14ac:dyDescent="0.3">
      <c r="A94" s="1"/>
      <c r="B94" s="6">
        <v>56303</v>
      </c>
      <c r="C94" s="7" t="s">
        <v>140</v>
      </c>
      <c r="D94" s="36">
        <v>2000</v>
      </c>
      <c r="E94" s="19"/>
      <c r="F94" s="33"/>
      <c r="G94" s="1"/>
    </row>
    <row r="95" spans="1:7" ht="16.5" x14ac:dyDescent="0.3">
      <c r="A95" s="1"/>
      <c r="B95" s="6">
        <v>56304</v>
      </c>
      <c r="C95" s="7" t="s">
        <v>141</v>
      </c>
      <c r="D95" s="36">
        <v>2000</v>
      </c>
      <c r="E95" s="19"/>
      <c r="F95" s="33"/>
      <c r="G95" s="1"/>
    </row>
    <row r="96" spans="1:7" ht="16.5" x14ac:dyDescent="0.3">
      <c r="A96" s="1"/>
      <c r="B96" s="6">
        <v>56305</v>
      </c>
      <c r="C96" s="7" t="s">
        <v>142</v>
      </c>
      <c r="D96" s="36"/>
      <c r="E96" s="19"/>
      <c r="F96" s="33"/>
      <c r="G96" s="1"/>
    </row>
    <row r="97" spans="1:7" ht="16.5" x14ac:dyDescent="0.3">
      <c r="A97" s="1"/>
      <c r="B97" s="6"/>
      <c r="C97" s="7"/>
      <c r="D97" s="36"/>
      <c r="E97" s="19"/>
      <c r="F97" s="33"/>
      <c r="G97" s="1"/>
    </row>
    <row r="98" spans="1:7" ht="16.5" x14ac:dyDescent="0.3">
      <c r="A98" s="1"/>
      <c r="B98" s="4">
        <v>61</v>
      </c>
      <c r="C98" s="5" t="s">
        <v>143</v>
      </c>
      <c r="D98" s="36"/>
      <c r="E98" s="19"/>
      <c r="F98" s="33">
        <f>SUM(E99:E114)</f>
        <v>265752.77</v>
      </c>
      <c r="G98" s="1"/>
    </row>
    <row r="99" spans="1:7" ht="16.5" x14ac:dyDescent="0.3">
      <c r="A99" s="1"/>
      <c r="B99" s="4">
        <v>611</v>
      </c>
      <c r="C99" s="5" t="s">
        <v>144</v>
      </c>
      <c r="D99" s="36"/>
      <c r="E99" s="19">
        <f>SUM(D100:D103)</f>
        <v>2000</v>
      </c>
      <c r="F99" s="33"/>
      <c r="G99" s="1"/>
    </row>
    <row r="100" spans="1:7" ht="16.5" x14ac:dyDescent="0.3">
      <c r="A100" s="1"/>
      <c r="B100" s="6">
        <v>61101</v>
      </c>
      <c r="C100" s="7" t="s">
        <v>145</v>
      </c>
      <c r="D100" s="36"/>
      <c r="E100" s="19"/>
      <c r="F100" s="33"/>
      <c r="G100" s="1"/>
    </row>
    <row r="101" spans="1:7" ht="16.5" x14ac:dyDescent="0.3">
      <c r="A101" s="1"/>
      <c r="B101" s="6">
        <v>61102</v>
      </c>
      <c r="C101" s="7" t="s">
        <v>146</v>
      </c>
      <c r="D101" s="36"/>
      <c r="E101" s="19"/>
      <c r="F101" s="33"/>
      <c r="G101" s="1"/>
    </row>
    <row r="102" spans="1:7" ht="16.5" x14ac:dyDescent="0.3">
      <c r="A102" s="1"/>
      <c r="B102" s="6">
        <v>61104</v>
      </c>
      <c r="C102" s="7" t="s">
        <v>147</v>
      </c>
      <c r="D102" s="36">
        <v>2000</v>
      </c>
      <c r="E102" s="19"/>
      <c r="F102" s="33"/>
      <c r="G102" s="1"/>
    </row>
    <row r="103" spans="1:7" ht="16.5" x14ac:dyDescent="0.3">
      <c r="A103" s="1"/>
      <c r="B103" s="6">
        <v>61105</v>
      </c>
      <c r="C103" s="7" t="s">
        <v>163</v>
      </c>
      <c r="D103" s="36"/>
      <c r="E103" s="19"/>
      <c r="F103" s="33"/>
      <c r="G103" s="1"/>
    </row>
    <row r="104" spans="1:7" ht="16.5" x14ac:dyDescent="0.3">
      <c r="A104" s="1"/>
      <c r="B104" s="4">
        <v>612</v>
      </c>
      <c r="C104" s="5" t="s">
        <v>148</v>
      </c>
      <c r="D104" s="36"/>
      <c r="E104" s="19">
        <f>+D105</f>
        <v>0</v>
      </c>
      <c r="F104" s="33"/>
      <c r="G104" s="1"/>
    </row>
    <row r="105" spans="1:7" ht="16.5" x14ac:dyDescent="0.3">
      <c r="A105" s="1"/>
      <c r="B105" s="6">
        <v>61201</v>
      </c>
      <c r="C105" s="7" t="s">
        <v>149</v>
      </c>
      <c r="D105" s="36">
        <v>0</v>
      </c>
      <c r="E105" s="19"/>
      <c r="F105" s="33"/>
      <c r="G105" s="1"/>
    </row>
    <row r="106" spans="1:7" ht="16.5" x14ac:dyDescent="0.3">
      <c r="A106" s="1"/>
      <c r="B106" s="4">
        <v>615</v>
      </c>
      <c r="C106" s="5" t="s">
        <v>150</v>
      </c>
      <c r="D106" s="36"/>
      <c r="E106" s="19">
        <f>+D107</f>
        <v>0</v>
      </c>
      <c r="F106" s="33"/>
      <c r="G106" s="1"/>
    </row>
    <row r="107" spans="1:7" ht="16.5" x14ac:dyDescent="0.3">
      <c r="A107" s="1"/>
      <c r="B107" s="6">
        <v>61599</v>
      </c>
      <c r="C107" s="7" t="s">
        <v>151</v>
      </c>
      <c r="D107" s="36"/>
      <c r="E107" s="19"/>
      <c r="F107" s="33"/>
      <c r="G107" s="1"/>
    </row>
    <row r="108" spans="1:7" ht="16.5" x14ac:dyDescent="0.3">
      <c r="A108" s="1"/>
      <c r="B108" s="4">
        <v>616</v>
      </c>
      <c r="C108" s="5" t="s">
        <v>152</v>
      </c>
      <c r="D108" s="36"/>
      <c r="E108" s="19">
        <f>SUM(D109:D115)</f>
        <v>263752.77</v>
      </c>
      <c r="F108" s="33"/>
      <c r="G108" s="1"/>
    </row>
    <row r="109" spans="1:7" ht="16.5" x14ac:dyDescent="0.3">
      <c r="A109" s="1"/>
      <c r="B109" s="6">
        <v>61601</v>
      </c>
      <c r="C109" s="7" t="s">
        <v>153</v>
      </c>
      <c r="D109" s="36">
        <v>10188.379999999999</v>
      </c>
      <c r="E109" s="19"/>
      <c r="F109" s="33"/>
      <c r="G109" s="1"/>
    </row>
    <row r="110" spans="1:7" ht="16.5" x14ac:dyDescent="0.3">
      <c r="A110" s="1"/>
      <c r="B110" s="6">
        <v>61602</v>
      </c>
      <c r="C110" s="7" t="s">
        <v>475</v>
      </c>
      <c r="D110" s="36"/>
      <c r="E110" s="19"/>
      <c r="F110" s="33"/>
      <c r="G110" s="1"/>
    </row>
    <row r="111" spans="1:7" ht="16.5" x14ac:dyDescent="0.3">
      <c r="A111" s="1"/>
      <c r="B111" s="6">
        <v>61603</v>
      </c>
      <c r="C111" s="7" t="s">
        <v>154</v>
      </c>
      <c r="D111" s="36">
        <v>226064.39</v>
      </c>
      <c r="E111" s="19"/>
      <c r="F111" s="33"/>
      <c r="G111" s="1"/>
    </row>
    <row r="112" spans="1:7" ht="16.5" x14ac:dyDescent="0.3">
      <c r="A112" s="1"/>
      <c r="B112" s="6">
        <v>61604</v>
      </c>
      <c r="C112" s="7" t="s">
        <v>155</v>
      </c>
      <c r="D112" s="36">
        <v>20500</v>
      </c>
      <c r="E112" s="19"/>
      <c r="F112" s="33"/>
      <c r="G112" s="1"/>
    </row>
    <row r="113" spans="1:7" ht="16.5" x14ac:dyDescent="0.3">
      <c r="A113" s="1"/>
      <c r="B113" s="6">
        <v>61606</v>
      </c>
      <c r="C113" s="7" t="s">
        <v>159</v>
      </c>
      <c r="D113" s="36"/>
      <c r="E113" s="19"/>
      <c r="F113" s="33"/>
      <c r="G113" s="1"/>
    </row>
    <row r="114" spans="1:7" ht="16.5" x14ac:dyDescent="0.3">
      <c r="A114" s="1"/>
      <c r="B114" s="6">
        <v>61607</v>
      </c>
      <c r="C114" s="7" t="s">
        <v>156</v>
      </c>
      <c r="D114" s="36">
        <v>7000</v>
      </c>
      <c r="E114" s="19"/>
      <c r="F114" s="33"/>
      <c r="G114" s="1"/>
    </row>
    <row r="115" spans="1:7" ht="16.5" x14ac:dyDescent="0.3">
      <c r="A115" s="1"/>
      <c r="B115" s="6">
        <v>61699</v>
      </c>
      <c r="C115" s="7" t="s">
        <v>160</v>
      </c>
      <c r="D115" s="36"/>
      <c r="E115" s="19"/>
      <c r="F115" s="33"/>
      <c r="G115" s="1"/>
    </row>
    <row r="116" spans="1:7" ht="16.5" x14ac:dyDescent="0.3">
      <c r="A116" s="1"/>
      <c r="B116" s="4">
        <v>71</v>
      </c>
      <c r="C116" s="5" t="s">
        <v>157</v>
      </c>
      <c r="D116" s="36"/>
      <c r="E116" s="19"/>
      <c r="F116" s="33">
        <f>+E117</f>
        <v>305528.43</v>
      </c>
      <c r="G116" s="1"/>
    </row>
    <row r="117" spans="1:7" ht="16.5" x14ac:dyDescent="0.3">
      <c r="A117" s="1"/>
      <c r="B117" s="4">
        <v>713</v>
      </c>
      <c r="C117" s="5" t="s">
        <v>158</v>
      </c>
      <c r="D117" s="36"/>
      <c r="E117" s="19">
        <f>+D118+D119</f>
        <v>305528.43</v>
      </c>
      <c r="F117" s="33"/>
      <c r="G117" s="1"/>
    </row>
    <row r="118" spans="1:7" ht="16.5" x14ac:dyDescent="0.3">
      <c r="A118" s="1"/>
      <c r="B118" s="10">
        <v>71304</v>
      </c>
      <c r="C118" s="11" t="s">
        <v>63</v>
      </c>
      <c r="D118" s="35">
        <v>206119.58</v>
      </c>
      <c r="E118" s="32"/>
      <c r="F118" s="34"/>
      <c r="G118" s="1"/>
    </row>
    <row r="119" spans="1:7" ht="17.25" thickBot="1" x14ac:dyDescent="0.35">
      <c r="A119" s="1"/>
      <c r="B119" s="10">
        <v>72101</v>
      </c>
      <c r="C119" s="11" t="s">
        <v>740</v>
      </c>
      <c r="D119" s="35">
        <v>99408.85</v>
      </c>
      <c r="E119" s="32"/>
      <c r="F119" s="34"/>
      <c r="G119" s="1"/>
    </row>
    <row r="120" spans="1:7" ht="17.25" thickBot="1" x14ac:dyDescent="0.35">
      <c r="A120" s="1"/>
      <c r="B120" s="49"/>
      <c r="C120" s="27" t="s">
        <v>67</v>
      </c>
      <c r="D120" s="50">
        <f>SUM(D11:D119)</f>
        <v>3418902.79</v>
      </c>
      <c r="E120" s="50">
        <f>SUM(E10:E119)</f>
        <v>3418902.79</v>
      </c>
      <c r="F120" s="51">
        <f>SUM(F9:F119)</f>
        <v>3418902.79</v>
      </c>
      <c r="G120" s="1"/>
    </row>
    <row r="121" spans="1:7" ht="16.5" x14ac:dyDescent="0.3">
      <c r="A121" s="1"/>
      <c r="B121" s="1"/>
      <c r="C121" s="1"/>
      <c r="D121" s="1"/>
      <c r="E121" s="1"/>
      <c r="F121" s="1"/>
      <c r="G121" s="1"/>
    </row>
    <row r="122" spans="1:7" ht="16.5" x14ac:dyDescent="0.3">
      <c r="A122" s="1"/>
      <c r="B122" s="1"/>
      <c r="C122" s="1"/>
      <c r="D122" s="1"/>
      <c r="E122" s="1"/>
      <c r="F122" s="15"/>
      <c r="G122" s="1"/>
    </row>
    <row r="123" spans="1:7" ht="16.5" x14ac:dyDescent="0.3">
      <c r="A123" s="1"/>
      <c r="B123" s="1"/>
      <c r="C123" s="1"/>
      <c r="D123" s="1"/>
      <c r="E123" s="1"/>
      <c r="F123" s="15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  <row r="162" spans="1:7" ht="16.5" x14ac:dyDescent="0.3">
      <c r="A162" s="1"/>
      <c r="B162" s="1"/>
      <c r="C162" s="1"/>
      <c r="D162" s="1"/>
      <c r="E162" s="1"/>
      <c r="F162" s="1"/>
      <c r="G162" s="1"/>
    </row>
    <row r="163" spans="1:7" ht="16.5" x14ac:dyDescent="0.3">
      <c r="A163" s="1"/>
      <c r="B163" s="1"/>
      <c r="C163" s="1"/>
      <c r="D163" s="1"/>
      <c r="E163" s="1"/>
      <c r="F163" s="1"/>
      <c r="G163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120" zoomScaleNormal="120" workbookViewId="0">
      <selection activeCell="C16" sqref="C16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  <col min="5" max="6" width="9.85546875" customWidth="1"/>
    <col min="7" max="7" width="9.140625" customWidth="1"/>
  </cols>
  <sheetData>
    <row r="1" spans="1:9" ht="16.5" x14ac:dyDescent="0.3">
      <c r="A1" s="572" t="s">
        <v>503</v>
      </c>
      <c r="B1" s="572"/>
      <c r="C1" s="572"/>
      <c r="D1" s="572"/>
      <c r="E1" s="572"/>
      <c r="F1" s="572"/>
      <c r="G1" s="572"/>
      <c r="H1" s="572"/>
      <c r="I1" s="86"/>
    </row>
    <row r="2" spans="1:9" x14ac:dyDescent="0.25">
      <c r="A2" s="581" t="s">
        <v>504</v>
      </c>
      <c r="B2" s="581"/>
      <c r="C2" s="581"/>
      <c r="D2" s="581"/>
      <c r="E2" s="581"/>
      <c r="F2" s="581"/>
      <c r="G2" s="581"/>
      <c r="H2" s="581"/>
      <c r="I2" s="86"/>
    </row>
    <row r="3" spans="1:9" x14ac:dyDescent="0.25">
      <c r="A3" s="86" t="s">
        <v>367</v>
      </c>
      <c r="B3" s="86"/>
      <c r="C3" s="86"/>
      <c r="D3" s="86"/>
      <c r="E3" s="86"/>
      <c r="F3" s="86"/>
      <c r="G3" s="86"/>
      <c r="H3" s="86"/>
      <c r="I3" s="86"/>
    </row>
    <row r="4" spans="1:9" ht="15.75" x14ac:dyDescent="0.25">
      <c r="A4" s="65" t="s">
        <v>701</v>
      </c>
      <c r="B4" s="86"/>
      <c r="C4" s="86"/>
      <c r="D4" s="86"/>
      <c r="E4" s="86"/>
      <c r="F4" s="86"/>
      <c r="G4" s="86"/>
      <c r="H4" s="86"/>
      <c r="I4" s="86"/>
    </row>
    <row r="5" spans="1:9" x14ac:dyDescent="0.25">
      <c r="A5" s="86" t="s">
        <v>505</v>
      </c>
      <c r="B5" s="86"/>
      <c r="C5" s="86"/>
      <c r="D5" s="86"/>
      <c r="E5" s="86"/>
      <c r="F5" s="86"/>
      <c r="G5" s="86"/>
      <c r="H5" s="86"/>
      <c r="I5" s="86"/>
    </row>
    <row r="6" spans="1:9" x14ac:dyDescent="0.25">
      <c r="A6" s="86" t="s">
        <v>506</v>
      </c>
      <c r="B6" s="86"/>
      <c r="C6" s="86"/>
      <c r="D6" s="86"/>
      <c r="E6" s="86"/>
      <c r="F6" s="86"/>
      <c r="G6" s="86"/>
      <c r="H6" s="86"/>
      <c r="I6" s="86"/>
    </row>
    <row r="7" spans="1:9" ht="15.75" thickBot="1" x14ac:dyDescent="0.3">
      <c r="A7" s="86" t="s">
        <v>507</v>
      </c>
      <c r="B7" s="86"/>
      <c r="C7" s="86"/>
      <c r="D7" s="86"/>
      <c r="E7" s="86"/>
      <c r="F7" s="86"/>
      <c r="G7" s="86"/>
      <c r="H7" s="86"/>
      <c r="I7" s="86"/>
    </row>
    <row r="8" spans="1:9" x14ac:dyDescent="0.25">
      <c r="A8" s="375" t="s">
        <v>172</v>
      </c>
      <c r="B8" s="586" t="s">
        <v>173</v>
      </c>
      <c r="C8" s="376">
        <v>125</v>
      </c>
      <c r="D8" s="514" t="s">
        <v>691</v>
      </c>
      <c r="E8" s="376" t="s">
        <v>509</v>
      </c>
      <c r="F8" s="376" t="s">
        <v>509</v>
      </c>
      <c r="G8" s="376"/>
      <c r="H8" s="377" t="s">
        <v>1</v>
      </c>
      <c r="I8" s="86"/>
    </row>
    <row r="9" spans="1:9" ht="15.75" thickBot="1" x14ac:dyDescent="0.3">
      <c r="A9" s="378" t="s">
        <v>508</v>
      </c>
      <c r="B9" s="587"/>
      <c r="C9" s="379" t="s">
        <v>259</v>
      </c>
      <c r="D9" s="513" t="s">
        <v>692</v>
      </c>
      <c r="E9" s="379" t="s">
        <v>364</v>
      </c>
      <c r="F9" s="379" t="s">
        <v>365</v>
      </c>
      <c r="G9" s="379" t="s">
        <v>262</v>
      </c>
      <c r="H9" s="380" t="s">
        <v>186</v>
      </c>
      <c r="I9" s="86"/>
    </row>
    <row r="10" spans="1:9" x14ac:dyDescent="0.25">
      <c r="A10" s="381"/>
      <c r="B10" s="382"/>
      <c r="C10" s="382"/>
      <c r="D10" s="382"/>
      <c r="E10" s="382"/>
      <c r="F10" s="382"/>
      <c r="G10" s="382"/>
      <c r="H10" s="383"/>
      <c r="I10" s="86"/>
    </row>
    <row r="11" spans="1:9" x14ac:dyDescent="0.25">
      <c r="A11" s="374">
        <v>55</v>
      </c>
      <c r="B11" s="373" t="s">
        <v>129</v>
      </c>
      <c r="C11" s="386">
        <f t="shared" ref="C11:H11" si="0">+C12</f>
        <v>3913.75</v>
      </c>
      <c r="D11" s="386">
        <f t="shared" si="0"/>
        <v>0</v>
      </c>
      <c r="E11" s="386">
        <f t="shared" si="0"/>
        <v>0</v>
      </c>
      <c r="F11" s="386">
        <f t="shared" si="0"/>
        <v>0</v>
      </c>
      <c r="G11" s="386">
        <f t="shared" si="0"/>
        <v>0</v>
      </c>
      <c r="H11" s="387">
        <f t="shared" si="0"/>
        <v>3913.75</v>
      </c>
      <c r="I11" s="86"/>
    </row>
    <row r="12" spans="1:9" x14ac:dyDescent="0.25">
      <c r="A12" s="374">
        <v>553</v>
      </c>
      <c r="B12" s="373" t="s">
        <v>510</v>
      </c>
      <c r="C12" s="386">
        <f>SUM(C13:C15)</f>
        <v>3913.75</v>
      </c>
      <c r="D12" s="386">
        <f>SUM(D13:D15)</f>
        <v>0</v>
      </c>
      <c r="E12" s="386">
        <f>SUM(E13:E15)</f>
        <v>0</v>
      </c>
      <c r="F12" s="386">
        <f>SUM(F13:F15)</f>
        <v>0</v>
      </c>
      <c r="G12" s="386">
        <f>SUM(G13:G15)</f>
        <v>0</v>
      </c>
      <c r="H12" s="387">
        <f>SUM(C12:G12)</f>
        <v>3913.75</v>
      </c>
      <c r="I12" s="86"/>
    </row>
    <row r="13" spans="1:9" x14ac:dyDescent="0.25">
      <c r="A13" s="371">
        <v>55302</v>
      </c>
      <c r="B13" s="369" t="s">
        <v>511</v>
      </c>
      <c r="C13" s="368"/>
      <c r="D13" s="368">
        <v>0</v>
      </c>
      <c r="E13" s="368">
        <v>0</v>
      </c>
      <c r="F13" s="368"/>
      <c r="G13" s="368">
        <v>0</v>
      </c>
      <c r="H13" s="388">
        <f>SUM(C13:G13)</f>
        <v>0</v>
      </c>
      <c r="I13" s="86"/>
    </row>
    <row r="14" spans="1:9" x14ac:dyDescent="0.25">
      <c r="A14" s="371">
        <v>55304</v>
      </c>
      <c r="B14" s="369" t="s">
        <v>512</v>
      </c>
      <c r="C14" s="368"/>
      <c r="D14" s="368">
        <v>0</v>
      </c>
      <c r="E14" s="368">
        <v>0</v>
      </c>
      <c r="F14" s="368">
        <v>0</v>
      </c>
      <c r="G14" s="368">
        <v>0</v>
      </c>
      <c r="H14" s="388">
        <f>SUM(C14:G14)</f>
        <v>0</v>
      </c>
      <c r="I14" s="86"/>
    </row>
    <row r="15" spans="1:9" x14ac:dyDescent="0.25">
      <c r="A15" s="371">
        <v>55304</v>
      </c>
      <c r="B15" s="369" t="s">
        <v>513</v>
      </c>
      <c r="C15" s="368">
        <v>3913.75</v>
      </c>
      <c r="D15" s="368">
        <v>0</v>
      </c>
      <c r="E15" s="368">
        <v>0</v>
      </c>
      <c r="F15" s="368">
        <v>0</v>
      </c>
      <c r="G15" s="368">
        <v>0</v>
      </c>
      <c r="H15" s="388">
        <f>SUM(C15:G15)</f>
        <v>3913.75</v>
      </c>
      <c r="I15" s="86"/>
    </row>
    <row r="16" spans="1:9" x14ac:dyDescent="0.25">
      <c r="A16" s="371"/>
      <c r="B16" s="369"/>
      <c r="C16" s="368"/>
      <c r="D16" s="368"/>
      <c r="E16" s="368"/>
      <c r="F16" s="368"/>
      <c r="G16" s="368"/>
      <c r="H16" s="388"/>
      <c r="I16" s="86"/>
    </row>
    <row r="17" spans="1:9" x14ac:dyDescent="0.25">
      <c r="A17" s="374">
        <v>71</v>
      </c>
      <c r="B17" s="373" t="s">
        <v>157</v>
      </c>
      <c r="C17" s="386">
        <f t="shared" ref="C17:H17" si="1">+C18</f>
        <v>206119.58</v>
      </c>
      <c r="D17" s="386">
        <f t="shared" si="1"/>
        <v>0</v>
      </c>
      <c r="E17" s="386">
        <f t="shared" si="1"/>
        <v>0</v>
      </c>
      <c r="F17" s="386">
        <f t="shared" si="1"/>
        <v>0</v>
      </c>
      <c r="G17" s="386">
        <f t="shared" si="1"/>
        <v>0</v>
      </c>
      <c r="H17" s="387">
        <f t="shared" si="1"/>
        <v>206119.58</v>
      </c>
      <c r="I17" s="86"/>
    </row>
    <row r="18" spans="1:9" x14ac:dyDescent="0.25">
      <c r="A18" s="374">
        <v>713</v>
      </c>
      <c r="B18" s="373" t="s">
        <v>158</v>
      </c>
      <c r="C18" s="386">
        <f>SUM(C19:C20)</f>
        <v>206119.58</v>
      </c>
      <c r="D18" s="386">
        <f>SUM(D19:D20)</f>
        <v>0</v>
      </c>
      <c r="E18" s="386">
        <f>SUM(E19:E20)</f>
        <v>0</v>
      </c>
      <c r="F18" s="386">
        <f>SUM(F19:F20)</f>
        <v>0</v>
      </c>
      <c r="G18" s="386">
        <f>SUM(G19:G20)</f>
        <v>0</v>
      </c>
      <c r="H18" s="387">
        <f>SUM(C18:G18)</f>
        <v>206119.58</v>
      </c>
      <c r="I18" s="86"/>
    </row>
    <row r="19" spans="1:9" x14ac:dyDescent="0.25">
      <c r="A19" s="372">
        <v>71304</v>
      </c>
      <c r="B19" s="370" t="s">
        <v>637</v>
      </c>
      <c r="C19" s="368">
        <v>206119.58</v>
      </c>
      <c r="D19" s="368">
        <v>0</v>
      </c>
      <c r="E19" s="368">
        <v>0</v>
      </c>
      <c r="F19" s="368">
        <v>0</v>
      </c>
      <c r="G19" s="368">
        <v>0</v>
      </c>
      <c r="H19" s="388">
        <f>SUM(C19:G19)</f>
        <v>206119.58</v>
      </c>
      <c r="I19" s="86"/>
    </row>
    <row r="20" spans="1:9" x14ac:dyDescent="0.25">
      <c r="A20" s="372">
        <v>71307</v>
      </c>
      <c r="B20" s="370" t="s">
        <v>638</v>
      </c>
      <c r="C20" s="368"/>
      <c r="D20" s="368"/>
      <c r="E20" s="368">
        <v>0</v>
      </c>
      <c r="F20" s="368"/>
      <c r="G20" s="368">
        <v>0</v>
      </c>
      <c r="H20" s="388">
        <f>SUM(C20:G20)</f>
        <v>0</v>
      </c>
      <c r="I20" s="86"/>
    </row>
    <row r="21" spans="1:9" x14ac:dyDescent="0.25">
      <c r="A21" s="371"/>
      <c r="B21" s="369"/>
      <c r="C21" s="368"/>
      <c r="D21" s="368"/>
      <c r="E21" s="368"/>
      <c r="F21" s="368"/>
      <c r="G21" s="368"/>
      <c r="H21" s="388"/>
      <c r="I21" s="86"/>
    </row>
    <row r="22" spans="1:9" x14ac:dyDescent="0.25">
      <c r="A22" s="371"/>
      <c r="B22" s="369"/>
      <c r="C22" s="368"/>
      <c r="D22" s="368"/>
      <c r="E22" s="368"/>
      <c r="F22" s="368"/>
      <c r="G22" s="368"/>
      <c r="H22" s="388"/>
      <c r="I22" s="86"/>
    </row>
    <row r="23" spans="1:9" x14ac:dyDescent="0.25">
      <c r="A23" s="371"/>
      <c r="B23" s="369"/>
      <c r="C23" s="368"/>
      <c r="D23" s="368"/>
      <c r="E23" s="368"/>
      <c r="F23" s="368"/>
      <c r="G23" s="368"/>
      <c r="H23" s="388"/>
      <c r="I23" s="86"/>
    </row>
    <row r="24" spans="1:9" ht="15.75" thickBot="1" x14ac:dyDescent="0.3">
      <c r="A24" s="372"/>
      <c r="B24" s="370"/>
      <c r="C24" s="389"/>
      <c r="D24" s="389"/>
      <c r="E24" s="389"/>
      <c r="F24" s="389"/>
      <c r="G24" s="389"/>
      <c r="H24" s="390"/>
      <c r="I24" s="86"/>
    </row>
    <row r="25" spans="1:9" ht="15.75" thickBot="1" x14ac:dyDescent="0.3">
      <c r="A25" s="384"/>
      <c r="B25" s="385" t="s">
        <v>67</v>
      </c>
      <c r="C25" s="391">
        <f t="shared" ref="C25:H25" si="2">+C11+C17</f>
        <v>210033.33</v>
      </c>
      <c r="D25" s="391">
        <f t="shared" si="2"/>
        <v>0</v>
      </c>
      <c r="E25" s="391">
        <f t="shared" si="2"/>
        <v>0</v>
      </c>
      <c r="F25" s="391">
        <f t="shared" si="2"/>
        <v>0</v>
      </c>
      <c r="G25" s="391">
        <f t="shared" si="2"/>
        <v>0</v>
      </c>
      <c r="H25" s="391">
        <f t="shared" si="2"/>
        <v>210033.33</v>
      </c>
      <c r="I25" s="86"/>
    </row>
    <row r="26" spans="1:9" x14ac:dyDescent="0.25">
      <c r="A26" s="132"/>
      <c r="B26" s="86"/>
      <c r="C26" s="86"/>
      <c r="D26" s="86"/>
      <c r="E26" s="86"/>
      <c r="F26" s="86"/>
      <c r="G26" s="86"/>
      <c r="H26" s="86"/>
      <c r="I26" s="86"/>
    </row>
    <row r="27" spans="1:9" x14ac:dyDescent="0.25">
      <c r="A27" s="132"/>
      <c r="B27" s="86"/>
      <c r="C27" s="86"/>
      <c r="D27" s="86"/>
      <c r="E27" s="86"/>
      <c r="F27" s="86"/>
      <c r="G27" s="86"/>
      <c r="H27" s="86"/>
      <c r="I27" s="86"/>
    </row>
    <row r="28" spans="1:9" x14ac:dyDescent="0.25">
      <c r="A28" s="132"/>
      <c r="B28" s="86"/>
      <c r="C28" s="86"/>
      <c r="D28" s="86"/>
      <c r="E28" s="86"/>
      <c r="F28" s="86"/>
      <c r="G28" s="86"/>
      <c r="H28" s="86"/>
      <c r="I28" s="86"/>
    </row>
    <row r="29" spans="1:9" x14ac:dyDescent="0.25">
      <c r="A29" s="132"/>
      <c r="B29" s="86"/>
      <c r="C29" s="86"/>
      <c r="D29" s="86"/>
      <c r="E29" s="86"/>
      <c r="F29" s="86"/>
      <c r="G29" s="86"/>
      <c r="H29" s="86"/>
      <c r="I29" s="86"/>
    </row>
    <row r="30" spans="1:9" x14ac:dyDescent="0.25">
      <c r="A30" s="132"/>
      <c r="B30" s="86"/>
      <c r="C30" s="86"/>
      <c r="D30" s="86"/>
      <c r="E30" s="86"/>
      <c r="F30" s="86"/>
      <c r="G30" s="86"/>
      <c r="H30" s="86"/>
      <c r="I30" s="86"/>
    </row>
    <row r="31" spans="1:9" x14ac:dyDescent="0.25">
      <c r="A31" s="132"/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A32" s="86"/>
      <c r="B32" s="86"/>
      <c r="C32" s="86"/>
      <c r="D32" s="86"/>
      <c r="E32" s="86"/>
      <c r="F32" s="86"/>
      <c r="G32" s="86"/>
      <c r="H32" s="86"/>
      <c r="I32" s="86"/>
    </row>
    <row r="33" spans="1:9" x14ac:dyDescent="0.25">
      <c r="A33" s="86"/>
      <c r="B33" s="86"/>
      <c r="C33" s="86"/>
      <c r="D33" s="86"/>
      <c r="E33" s="86"/>
      <c r="F33" s="86"/>
      <c r="G33" s="86"/>
      <c r="H33" s="86"/>
      <c r="I33" s="86"/>
    </row>
    <row r="34" spans="1:9" x14ac:dyDescent="0.25">
      <c r="A34" s="86"/>
      <c r="B34" s="86"/>
      <c r="C34" s="86"/>
      <c r="D34" s="86"/>
      <c r="E34" s="86"/>
      <c r="F34" s="86"/>
      <c r="G34" s="86"/>
      <c r="H34" s="86"/>
      <c r="I34" s="86"/>
    </row>
    <row r="35" spans="1:9" x14ac:dyDescent="0.25">
      <c r="A35" s="86"/>
      <c r="B35" s="86"/>
      <c r="C35" s="86"/>
      <c r="D35" s="86"/>
      <c r="E35" s="86"/>
      <c r="F35" s="86"/>
      <c r="G35" s="86"/>
      <c r="H35" s="86"/>
      <c r="I35" s="86"/>
    </row>
    <row r="36" spans="1:9" x14ac:dyDescent="0.25">
      <c r="A36" s="86"/>
      <c r="B36" s="86"/>
      <c r="C36" s="86"/>
      <c r="D36" s="86"/>
      <c r="E36" s="86"/>
      <c r="F36" s="86"/>
      <c r="G36" s="86"/>
      <c r="H36" s="86"/>
      <c r="I36" s="86"/>
    </row>
    <row r="37" spans="1:9" x14ac:dyDescent="0.25">
      <c r="A37" s="86"/>
      <c r="B37" s="86"/>
      <c r="C37" s="86"/>
      <c r="D37" s="86"/>
      <c r="E37" s="86"/>
      <c r="F37" s="86"/>
      <c r="G37" s="86"/>
      <c r="H37" s="86"/>
      <c r="I37" s="86"/>
    </row>
    <row r="38" spans="1:9" x14ac:dyDescent="0.25">
      <c r="A38" s="86"/>
      <c r="B38" s="86"/>
      <c r="C38" s="86"/>
      <c r="D38" s="86"/>
      <c r="E38" s="86"/>
      <c r="F38" s="86"/>
      <c r="G38" s="86"/>
      <c r="H38" s="86"/>
      <c r="I38" s="86"/>
    </row>
    <row r="39" spans="1:9" x14ac:dyDescent="0.25">
      <c r="A39" s="86"/>
      <c r="B39" s="86"/>
      <c r="C39" s="86"/>
      <c r="D39" s="86"/>
      <c r="E39" s="86"/>
      <c r="F39" s="86"/>
      <c r="G39" s="86"/>
      <c r="H39" s="86"/>
      <c r="I39" s="86"/>
    </row>
    <row r="40" spans="1:9" x14ac:dyDescent="0.25">
      <c r="A40" s="86"/>
      <c r="B40" s="86"/>
      <c r="C40" s="86"/>
      <c r="D40" s="86"/>
      <c r="E40" s="86"/>
      <c r="F40" s="86"/>
      <c r="G40" s="86"/>
      <c r="H40" s="86"/>
      <c r="I40" s="86"/>
    </row>
    <row r="41" spans="1:9" x14ac:dyDescent="0.25">
      <c r="A41" s="86"/>
      <c r="B41" s="86"/>
      <c r="C41" s="86"/>
      <c r="D41" s="86"/>
      <c r="E41" s="86"/>
      <c r="F41" s="86"/>
      <c r="G41" s="86"/>
      <c r="H41" s="86"/>
      <c r="I41" s="86"/>
    </row>
    <row r="42" spans="1:9" x14ac:dyDescent="0.25">
      <c r="A42" s="86"/>
      <c r="B42" s="86"/>
      <c r="C42" s="86"/>
      <c r="D42" s="86"/>
      <c r="E42" s="86"/>
      <c r="F42" s="86"/>
      <c r="G42" s="86"/>
      <c r="H42" s="86"/>
      <c r="I42" s="86"/>
    </row>
    <row r="43" spans="1:9" x14ac:dyDescent="0.25">
      <c r="A43" s="86"/>
      <c r="B43" s="86"/>
      <c r="C43" s="86"/>
      <c r="D43" s="86"/>
      <c r="E43" s="86"/>
      <c r="F43" s="86"/>
      <c r="G43" s="86"/>
      <c r="H43" s="86"/>
      <c r="I43" s="86"/>
    </row>
    <row r="44" spans="1:9" x14ac:dyDescent="0.25">
      <c r="A44" s="86"/>
      <c r="B44" s="86"/>
      <c r="C44" s="86"/>
      <c r="D44" s="86"/>
      <c r="E44" s="86"/>
      <c r="F44" s="86"/>
      <c r="G44" s="86"/>
      <c r="H44" s="86"/>
      <c r="I44" s="86"/>
    </row>
    <row r="45" spans="1:9" x14ac:dyDescent="0.25">
      <c r="A45" s="86"/>
      <c r="B45" s="86"/>
      <c r="C45" s="86"/>
      <c r="D45" s="86"/>
      <c r="E45" s="86"/>
      <c r="F45" s="86"/>
      <c r="G45" s="86"/>
      <c r="H45" s="86"/>
      <c r="I45" s="86"/>
    </row>
  </sheetData>
  <mergeCells count="3">
    <mergeCell ref="B8:B9"/>
    <mergeCell ref="A1:H1"/>
    <mergeCell ref="A2:H2"/>
  </mergeCells>
  <pageMargins left="0.97" right="0.70866141732283472" top="0.74803149606299213" bottom="0.74803149606299213" header="0.31496062992125984" footer="0.31496062992125984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opLeftCell="A127" workbookViewId="0">
      <selection activeCell="C134" sqref="C134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6.140625" bestFit="1" customWidth="1"/>
    <col min="8" max="8" width="13.28515625" bestFit="1" customWidth="1"/>
  </cols>
  <sheetData>
    <row r="1" spans="1:8" ht="16.5" x14ac:dyDescent="0.3">
      <c r="A1" s="571" t="s">
        <v>373</v>
      </c>
      <c r="B1" s="571"/>
      <c r="C1" s="571"/>
      <c r="D1" s="571"/>
      <c r="E1" s="571"/>
      <c r="F1" s="571"/>
      <c r="G1" s="571"/>
      <c r="H1" s="571"/>
    </row>
    <row r="2" spans="1:8" ht="16.5" x14ac:dyDescent="0.3">
      <c r="A2" s="571" t="s">
        <v>374</v>
      </c>
      <c r="B2" s="571"/>
      <c r="C2" s="571"/>
      <c r="D2" s="571"/>
      <c r="E2" s="571"/>
      <c r="F2" s="571"/>
      <c r="G2" s="571"/>
      <c r="H2" s="571"/>
    </row>
    <row r="3" spans="1:8" ht="16.5" x14ac:dyDescent="0.3">
      <c r="A3" s="574" t="s">
        <v>192</v>
      </c>
      <c r="B3" s="574"/>
      <c r="C3" s="574"/>
      <c r="D3" s="574"/>
      <c r="E3" s="574"/>
      <c r="F3" s="574"/>
      <c r="G3" s="574"/>
      <c r="H3" s="574"/>
    </row>
    <row r="4" spans="1:8" ht="16.5" x14ac:dyDescent="0.3">
      <c r="A4" s="213" t="s">
        <v>409</v>
      </c>
      <c r="B4" s="214"/>
      <c r="C4" s="214"/>
      <c r="D4" s="214"/>
      <c r="E4" s="214"/>
      <c r="F4" s="214"/>
      <c r="G4" s="214"/>
      <c r="H4" s="214"/>
    </row>
    <row r="5" spans="1:8" ht="16.5" x14ac:dyDescent="0.3">
      <c r="A5" s="497" t="s">
        <v>702</v>
      </c>
      <c r="B5" s="214"/>
      <c r="C5" s="214"/>
      <c r="D5" s="214"/>
      <c r="E5" s="214"/>
      <c r="F5" s="214"/>
      <c r="G5" s="214"/>
      <c r="H5" s="214"/>
    </row>
    <row r="6" spans="1:8" ht="16.5" x14ac:dyDescent="0.3">
      <c r="A6" s="213" t="s">
        <v>411</v>
      </c>
      <c r="B6" s="214"/>
      <c r="C6" s="214"/>
      <c r="D6" s="214"/>
      <c r="E6" s="214"/>
      <c r="F6" s="214"/>
      <c r="G6" s="214"/>
      <c r="H6" s="214"/>
    </row>
    <row r="7" spans="1:8" ht="16.5" x14ac:dyDescent="0.3">
      <c r="A7" s="213" t="s">
        <v>375</v>
      </c>
      <c r="B7" s="214"/>
      <c r="C7" s="214"/>
      <c r="D7" s="214"/>
      <c r="E7" s="214"/>
      <c r="F7" s="214"/>
      <c r="G7" s="214" t="s">
        <v>8</v>
      </c>
      <c r="H7" s="214"/>
    </row>
    <row r="8" spans="1:8" ht="17.25" thickBot="1" x14ac:dyDescent="0.35">
      <c r="A8" s="213" t="s">
        <v>410</v>
      </c>
      <c r="B8" s="214"/>
      <c r="C8" s="214"/>
      <c r="D8" s="214"/>
      <c r="E8" s="214"/>
      <c r="F8" s="214"/>
      <c r="G8" s="214"/>
      <c r="H8" s="214"/>
    </row>
    <row r="9" spans="1:8" ht="16.5" x14ac:dyDescent="0.3">
      <c r="A9" s="588" t="s">
        <v>376</v>
      </c>
      <c r="B9" s="589"/>
      <c r="C9" s="590" t="s">
        <v>377</v>
      </c>
      <c r="D9" s="590"/>
      <c r="E9" s="590"/>
      <c r="F9" s="590"/>
      <c r="G9" s="589"/>
      <c r="H9" s="591" t="s">
        <v>1</v>
      </c>
    </row>
    <row r="10" spans="1:8" ht="50.25" thickBot="1" x14ac:dyDescent="0.35">
      <c r="A10" s="265" t="s">
        <v>172</v>
      </c>
      <c r="B10" s="266" t="s">
        <v>69</v>
      </c>
      <c r="C10" s="267" t="s">
        <v>378</v>
      </c>
      <c r="D10" s="267" t="s">
        <v>379</v>
      </c>
      <c r="E10" s="267" t="s">
        <v>260</v>
      </c>
      <c r="F10" s="267" t="s">
        <v>261</v>
      </c>
      <c r="G10" s="267" t="s">
        <v>262</v>
      </c>
      <c r="H10" s="592"/>
    </row>
    <row r="11" spans="1:8" ht="16.5" x14ac:dyDescent="0.3">
      <c r="A11" s="245">
        <v>51</v>
      </c>
      <c r="B11" s="246" t="s">
        <v>71</v>
      </c>
      <c r="C11" s="268">
        <f>+C12+C17+C19+C21+C23+C25+C28+C30</f>
        <v>0</v>
      </c>
      <c r="D11" s="268">
        <f>+D12+D17+D19+D21+D23+D25+D28+D30</f>
        <v>1837971.8</v>
      </c>
      <c r="E11" s="268"/>
      <c r="F11" s="268"/>
      <c r="G11" s="268"/>
      <c r="H11" s="269">
        <f t="shared" ref="H11:H31" si="0">SUM(C11:G11)</f>
        <v>1837971.8</v>
      </c>
    </row>
    <row r="12" spans="1:8" ht="16.5" x14ac:dyDescent="0.3">
      <c r="A12" s="231">
        <v>511</v>
      </c>
      <c r="B12" s="215" t="s">
        <v>72</v>
      </c>
      <c r="C12" s="216">
        <f>SUM(C13:C16)</f>
        <v>0</v>
      </c>
      <c r="D12" s="216">
        <f>SUM(D13:D16)</f>
        <v>1552866.98</v>
      </c>
      <c r="E12" s="217"/>
      <c r="F12" s="217"/>
      <c r="G12" s="217"/>
      <c r="H12" s="270">
        <f t="shared" si="0"/>
        <v>1552866.98</v>
      </c>
    </row>
    <row r="13" spans="1:8" ht="16.5" x14ac:dyDescent="0.3">
      <c r="A13" s="271" t="s">
        <v>380</v>
      </c>
      <c r="B13" s="218" t="s">
        <v>73</v>
      </c>
      <c r="C13" s="219"/>
      <c r="D13" s="220">
        <v>1219346.48</v>
      </c>
      <c r="E13" s="221"/>
      <c r="F13" s="221"/>
      <c r="G13" s="221"/>
      <c r="H13" s="272">
        <f t="shared" si="0"/>
        <v>1219346.48</v>
      </c>
    </row>
    <row r="14" spans="1:8" ht="16.5" x14ac:dyDescent="0.3">
      <c r="A14" s="234">
        <v>51103</v>
      </c>
      <c r="B14" s="218" t="s">
        <v>74</v>
      </c>
      <c r="C14" s="219">
        <v>0</v>
      </c>
      <c r="D14" s="220">
        <v>80800</v>
      </c>
      <c r="E14" s="217"/>
      <c r="F14" s="217"/>
      <c r="G14" s="217"/>
      <c r="H14" s="272">
        <f t="shared" si="0"/>
        <v>80800</v>
      </c>
    </row>
    <row r="15" spans="1:8" ht="16.5" x14ac:dyDescent="0.3">
      <c r="A15" s="271" t="s">
        <v>381</v>
      </c>
      <c r="B15" s="218" t="s">
        <v>75</v>
      </c>
      <c r="C15" s="219"/>
      <c r="D15" s="220">
        <v>136032</v>
      </c>
      <c r="E15" s="221"/>
      <c r="F15" s="221"/>
      <c r="G15" s="221"/>
      <c r="H15" s="272">
        <f t="shared" si="0"/>
        <v>136032</v>
      </c>
    </row>
    <row r="16" spans="1:8" ht="16.5" x14ac:dyDescent="0.3">
      <c r="A16" s="271" t="s">
        <v>412</v>
      </c>
      <c r="B16" s="218" t="s">
        <v>76</v>
      </c>
      <c r="C16" s="219">
        <v>0</v>
      </c>
      <c r="D16" s="220">
        <v>116688.5</v>
      </c>
      <c r="E16" s="221"/>
      <c r="F16" s="221"/>
      <c r="G16" s="221"/>
      <c r="H16" s="272">
        <f t="shared" si="0"/>
        <v>116688.5</v>
      </c>
    </row>
    <row r="17" spans="1:8" ht="16.5" x14ac:dyDescent="0.3">
      <c r="A17" s="273" t="s">
        <v>382</v>
      </c>
      <c r="B17" s="224" t="s">
        <v>77</v>
      </c>
      <c r="C17" s="216">
        <f>+C18</f>
        <v>0</v>
      </c>
      <c r="D17" s="216">
        <f>+D18</f>
        <v>25000</v>
      </c>
      <c r="E17" s="220"/>
      <c r="F17" s="220"/>
      <c r="G17" s="220"/>
      <c r="H17" s="270">
        <f t="shared" si="0"/>
        <v>25000</v>
      </c>
    </row>
    <row r="18" spans="1:8" ht="16.5" x14ac:dyDescent="0.3">
      <c r="A18" s="271" t="s">
        <v>383</v>
      </c>
      <c r="B18" s="218" t="s">
        <v>73</v>
      </c>
      <c r="C18" s="219">
        <v>0</v>
      </c>
      <c r="D18" s="219">
        <v>25000</v>
      </c>
      <c r="E18" s="220"/>
      <c r="F18" s="220"/>
      <c r="G18" s="220"/>
      <c r="H18" s="272">
        <f t="shared" si="0"/>
        <v>25000</v>
      </c>
    </row>
    <row r="19" spans="1:8" ht="16.5" x14ac:dyDescent="0.3">
      <c r="A19" s="273" t="s">
        <v>384</v>
      </c>
      <c r="B19" s="224" t="s">
        <v>78</v>
      </c>
      <c r="C19" s="216">
        <f>+C20</f>
        <v>0</v>
      </c>
      <c r="D19" s="216">
        <f>+D20</f>
        <v>12000</v>
      </c>
      <c r="E19" s="221"/>
      <c r="F19" s="221"/>
      <c r="G19" s="221"/>
      <c r="H19" s="270">
        <f t="shared" si="0"/>
        <v>12000</v>
      </c>
    </row>
    <row r="20" spans="1:8" ht="16.5" x14ac:dyDescent="0.3">
      <c r="A20" s="234">
        <v>51301</v>
      </c>
      <c r="B20" s="223" t="s">
        <v>79</v>
      </c>
      <c r="C20" s="219">
        <f>+[2]Res_Nom_FF!C22</f>
        <v>0</v>
      </c>
      <c r="D20" s="219">
        <v>12000</v>
      </c>
      <c r="E20" s="217"/>
      <c r="F20" s="217"/>
      <c r="G20" s="217"/>
      <c r="H20" s="272">
        <f t="shared" si="0"/>
        <v>12000</v>
      </c>
    </row>
    <row r="21" spans="1:8" ht="16.5" x14ac:dyDescent="0.3">
      <c r="A21" s="231">
        <v>514</v>
      </c>
      <c r="B21" s="226" t="s">
        <v>413</v>
      </c>
      <c r="C21" s="216">
        <f>+C22</f>
        <v>0</v>
      </c>
      <c r="D21" s="216">
        <f>+D22</f>
        <v>112982.37</v>
      </c>
      <c r="E21" s="220"/>
      <c r="F21" s="220"/>
      <c r="G21" s="220"/>
      <c r="H21" s="270">
        <f t="shared" si="0"/>
        <v>112982.37</v>
      </c>
    </row>
    <row r="22" spans="1:8" ht="16.5" x14ac:dyDescent="0.3">
      <c r="A22" s="271" t="s">
        <v>385</v>
      </c>
      <c r="B22" s="218" t="s">
        <v>80</v>
      </c>
      <c r="C22" s="219">
        <v>0</v>
      </c>
      <c r="D22" s="219">
        <v>112982.37</v>
      </c>
      <c r="E22" s="225"/>
      <c r="F22" s="225"/>
      <c r="G22" s="225"/>
      <c r="H22" s="272">
        <f t="shared" si="0"/>
        <v>112982.37</v>
      </c>
    </row>
    <row r="23" spans="1:8" ht="16.5" x14ac:dyDescent="0.3">
      <c r="A23" s="231">
        <v>515</v>
      </c>
      <c r="B23" s="226" t="s">
        <v>414</v>
      </c>
      <c r="C23" s="216">
        <f>+C24</f>
        <v>0</v>
      </c>
      <c r="D23" s="216">
        <f>+D24</f>
        <v>95122.45</v>
      </c>
      <c r="E23" s="220"/>
      <c r="F23" s="220"/>
      <c r="G23" s="220"/>
      <c r="H23" s="270">
        <f t="shared" si="0"/>
        <v>95122.45</v>
      </c>
    </row>
    <row r="24" spans="1:8" ht="16.5" x14ac:dyDescent="0.3">
      <c r="A24" s="271" t="s">
        <v>386</v>
      </c>
      <c r="B24" s="218" t="s">
        <v>80</v>
      </c>
      <c r="C24" s="219">
        <v>0</v>
      </c>
      <c r="D24" s="219">
        <v>95122.45</v>
      </c>
      <c r="E24" s="217"/>
      <c r="F24" s="217"/>
      <c r="G24" s="217"/>
      <c r="H24" s="272">
        <f t="shared" si="0"/>
        <v>95122.45</v>
      </c>
    </row>
    <row r="25" spans="1:8" ht="16.5" x14ac:dyDescent="0.3">
      <c r="A25" s="273" t="s">
        <v>387</v>
      </c>
      <c r="B25" s="224" t="s">
        <v>81</v>
      </c>
      <c r="C25" s="216">
        <f>SUM(C26:C27)</f>
        <v>0</v>
      </c>
      <c r="D25" s="216">
        <f>SUM(D26:D27)</f>
        <v>15000</v>
      </c>
      <c r="E25" s="220"/>
      <c r="F25" s="220"/>
      <c r="G25" s="220"/>
      <c r="H25" s="270">
        <f t="shared" si="0"/>
        <v>15000</v>
      </c>
    </row>
    <row r="26" spans="1:8" ht="16.5" x14ac:dyDescent="0.3">
      <c r="A26" s="234">
        <v>51601</v>
      </c>
      <c r="B26" s="223" t="s">
        <v>415</v>
      </c>
      <c r="C26" s="219">
        <f>+[2]Res_Nom_FF!C31</f>
        <v>0</v>
      </c>
      <c r="D26" s="219">
        <v>12000</v>
      </c>
      <c r="E26" s="220"/>
      <c r="F26" s="220"/>
      <c r="G26" s="220"/>
      <c r="H26" s="272">
        <f t="shared" si="0"/>
        <v>12000</v>
      </c>
    </row>
    <row r="27" spans="1:8" ht="16.5" x14ac:dyDescent="0.3">
      <c r="A27" s="234">
        <v>51602</v>
      </c>
      <c r="B27" s="223" t="s">
        <v>416</v>
      </c>
      <c r="C27" s="219">
        <f>+[2]Res_Nom_FF!C32</f>
        <v>0</v>
      </c>
      <c r="D27" s="219">
        <v>3000</v>
      </c>
      <c r="E27" s="220"/>
      <c r="F27" s="220"/>
      <c r="G27" s="220"/>
      <c r="H27" s="272">
        <f t="shared" si="0"/>
        <v>3000</v>
      </c>
    </row>
    <row r="28" spans="1:8" ht="16.5" x14ac:dyDescent="0.3">
      <c r="A28" s="231">
        <v>517</v>
      </c>
      <c r="B28" s="226" t="s">
        <v>84</v>
      </c>
      <c r="C28" s="216">
        <f>+C29</f>
        <v>0</v>
      </c>
      <c r="D28" s="216">
        <f>+D29</f>
        <v>25000</v>
      </c>
      <c r="E28" s="220"/>
      <c r="F28" s="220"/>
      <c r="G28" s="220"/>
      <c r="H28" s="270">
        <f t="shared" si="0"/>
        <v>25000</v>
      </c>
    </row>
    <row r="29" spans="1:8" ht="16.5" x14ac:dyDescent="0.3">
      <c r="A29" s="234">
        <v>51701</v>
      </c>
      <c r="B29" s="223" t="s">
        <v>85</v>
      </c>
      <c r="C29" s="219">
        <v>0</v>
      </c>
      <c r="D29" s="219">
        <v>25000</v>
      </c>
      <c r="E29" s="220"/>
      <c r="F29" s="220"/>
      <c r="G29" s="220"/>
      <c r="H29" s="272">
        <f t="shared" si="0"/>
        <v>25000</v>
      </c>
    </row>
    <row r="30" spans="1:8" ht="16.5" x14ac:dyDescent="0.3">
      <c r="A30" s="231">
        <v>519</v>
      </c>
      <c r="B30" s="226" t="s">
        <v>86</v>
      </c>
      <c r="C30" s="216">
        <f>+C31</f>
        <v>0</v>
      </c>
      <c r="D30" s="216">
        <f>+D31</f>
        <v>0</v>
      </c>
      <c r="E30" s="220"/>
      <c r="F30" s="220"/>
      <c r="G30" s="220"/>
      <c r="H30" s="270">
        <f t="shared" si="0"/>
        <v>0</v>
      </c>
    </row>
    <row r="31" spans="1:8" ht="16.5" x14ac:dyDescent="0.3">
      <c r="A31" s="234">
        <v>51901</v>
      </c>
      <c r="B31" s="223" t="s">
        <v>87</v>
      </c>
      <c r="C31" s="219">
        <f>+[2]Res_Nom_FF!C39</f>
        <v>0</v>
      </c>
      <c r="D31" s="219"/>
      <c r="E31" s="220"/>
      <c r="F31" s="220"/>
      <c r="G31" s="220"/>
      <c r="H31" s="272">
        <f t="shared" si="0"/>
        <v>0</v>
      </c>
    </row>
    <row r="32" spans="1:8" ht="16.5" x14ac:dyDescent="0.3">
      <c r="A32" s="234"/>
      <c r="B32" s="223"/>
      <c r="C32" s="220"/>
      <c r="D32" s="220"/>
      <c r="E32" s="220"/>
      <c r="F32" s="220"/>
      <c r="G32" s="220"/>
      <c r="H32" s="272"/>
    </row>
    <row r="33" spans="1:8" ht="16.5" x14ac:dyDescent="0.3">
      <c r="A33" s="231">
        <v>54</v>
      </c>
      <c r="B33" s="226" t="s">
        <v>88</v>
      </c>
      <c r="C33" s="225">
        <f>+C34+C55+C61+C77+C82</f>
        <v>408000</v>
      </c>
      <c r="D33" s="225">
        <f>+D34+D55+D61+D77+D82+D90</f>
        <v>319585.58</v>
      </c>
      <c r="E33" s="220"/>
      <c r="F33" s="220"/>
      <c r="G33" s="220"/>
      <c r="H33" s="270">
        <f t="shared" ref="H33:H64" si="1">SUM(C33:G33)</f>
        <v>727585.58000000007</v>
      </c>
    </row>
    <row r="34" spans="1:8" ht="16.5" x14ac:dyDescent="0.3">
      <c r="A34" s="231">
        <v>541</v>
      </c>
      <c r="B34" s="226" t="s">
        <v>89</v>
      </c>
      <c r="C34" s="225">
        <v>0</v>
      </c>
      <c r="D34" s="225">
        <f>SUM(D35:D54)</f>
        <v>231804.58000000002</v>
      </c>
      <c r="E34" s="220"/>
      <c r="F34" s="220"/>
      <c r="G34" s="220"/>
      <c r="H34" s="270">
        <f t="shared" si="1"/>
        <v>231804.58000000002</v>
      </c>
    </row>
    <row r="35" spans="1:8" ht="16.5" x14ac:dyDescent="0.3">
      <c r="A35" s="234">
        <v>54101</v>
      </c>
      <c r="B35" s="223" t="s">
        <v>202</v>
      </c>
      <c r="C35" s="220">
        <v>0</v>
      </c>
      <c r="D35" s="80">
        <v>12290.76</v>
      </c>
      <c r="E35" s="220"/>
      <c r="F35" s="220"/>
      <c r="G35" s="220"/>
      <c r="H35" s="272">
        <f t="shared" si="1"/>
        <v>12290.76</v>
      </c>
    </row>
    <row r="36" spans="1:8" ht="16.5" x14ac:dyDescent="0.3">
      <c r="A36" s="234">
        <v>54103</v>
      </c>
      <c r="B36" s="223" t="s">
        <v>203</v>
      </c>
      <c r="C36" s="220">
        <f>+[2]Egresos_FF!C13</f>
        <v>0</v>
      </c>
      <c r="D36" s="80">
        <v>192</v>
      </c>
      <c r="E36" s="220"/>
      <c r="F36" s="220"/>
      <c r="G36" s="220"/>
      <c r="H36" s="272">
        <f t="shared" si="1"/>
        <v>192</v>
      </c>
    </row>
    <row r="37" spans="1:8" ht="16.5" x14ac:dyDescent="0.3">
      <c r="A37" s="234">
        <v>54104</v>
      </c>
      <c r="B37" s="223" t="s">
        <v>91</v>
      </c>
      <c r="C37" s="220">
        <v>0</v>
      </c>
      <c r="D37" s="80">
        <v>29239.46</v>
      </c>
      <c r="E37" s="220"/>
      <c r="F37" s="220"/>
      <c r="G37" s="220"/>
      <c r="H37" s="272">
        <f t="shared" si="1"/>
        <v>29239.46</v>
      </c>
    </row>
    <row r="38" spans="1:8" ht="16.5" x14ac:dyDescent="0.3">
      <c r="A38" s="234">
        <v>54105</v>
      </c>
      <c r="B38" s="223" t="s">
        <v>204</v>
      </c>
      <c r="C38" s="220">
        <v>0</v>
      </c>
      <c r="D38" s="80">
        <v>15840.89</v>
      </c>
      <c r="E38" s="220"/>
      <c r="F38" s="220"/>
      <c r="G38" s="220"/>
      <c r="H38" s="272">
        <f t="shared" si="1"/>
        <v>15840.89</v>
      </c>
    </row>
    <row r="39" spans="1:8" ht="16.5" x14ac:dyDescent="0.3">
      <c r="A39" s="234">
        <v>54106</v>
      </c>
      <c r="B39" s="223" t="s">
        <v>93</v>
      </c>
      <c r="C39" s="220">
        <f>+[2]Egresos_FF!C16</f>
        <v>0</v>
      </c>
      <c r="D39" s="80">
        <v>2959.14</v>
      </c>
      <c r="E39" s="220"/>
      <c r="F39" s="220"/>
      <c r="G39" s="220"/>
      <c r="H39" s="272">
        <f t="shared" si="1"/>
        <v>2959.14</v>
      </c>
    </row>
    <row r="40" spans="1:8" ht="16.5" x14ac:dyDescent="0.3">
      <c r="A40" s="234">
        <v>54107</v>
      </c>
      <c r="B40" s="223" t="s">
        <v>94</v>
      </c>
      <c r="C40" s="220">
        <f>+[2]Egresos_FF!C17</f>
        <v>0</v>
      </c>
      <c r="D40" s="80">
        <v>24609.82</v>
      </c>
      <c r="E40" s="225"/>
      <c r="F40" s="225"/>
      <c r="G40" s="225"/>
      <c r="H40" s="272">
        <f t="shared" si="1"/>
        <v>24609.82</v>
      </c>
    </row>
    <row r="41" spans="1:8" ht="16.5" x14ac:dyDescent="0.3">
      <c r="A41" s="234">
        <v>54108</v>
      </c>
      <c r="B41" s="223" t="s">
        <v>95</v>
      </c>
      <c r="C41" s="220">
        <f>+[2]Egresos_FF!C18</f>
        <v>0</v>
      </c>
      <c r="D41" s="80"/>
      <c r="E41" s="220"/>
      <c r="F41" s="220"/>
      <c r="G41" s="220"/>
      <c r="H41" s="272">
        <f t="shared" si="1"/>
        <v>0</v>
      </c>
    </row>
    <row r="42" spans="1:8" ht="16.5" x14ac:dyDescent="0.3">
      <c r="A42" s="234">
        <v>54109</v>
      </c>
      <c r="B42" s="223" t="s">
        <v>96</v>
      </c>
      <c r="C42" s="220">
        <v>0</v>
      </c>
      <c r="D42" s="80">
        <v>3000</v>
      </c>
      <c r="E42" s="220"/>
      <c r="F42" s="220"/>
      <c r="G42" s="220"/>
      <c r="H42" s="272">
        <f t="shared" si="1"/>
        <v>3000</v>
      </c>
    </row>
    <row r="43" spans="1:8" ht="16.5" x14ac:dyDescent="0.3">
      <c r="A43" s="234">
        <v>54110</v>
      </c>
      <c r="B43" s="223" t="s">
        <v>97</v>
      </c>
      <c r="C43" s="220">
        <v>0</v>
      </c>
      <c r="D43" s="80">
        <v>64570.2</v>
      </c>
      <c r="E43" s="220"/>
      <c r="F43" s="220"/>
      <c r="G43" s="220"/>
      <c r="H43" s="272">
        <f t="shared" si="1"/>
        <v>64570.2</v>
      </c>
    </row>
    <row r="44" spans="1:8" ht="16.5" x14ac:dyDescent="0.3">
      <c r="A44" s="234">
        <v>54111</v>
      </c>
      <c r="B44" s="223" t="s">
        <v>205</v>
      </c>
      <c r="C44" s="220">
        <f>+[2]Egresos_FF!C21</f>
        <v>0</v>
      </c>
      <c r="D44" s="80">
        <v>1493.4</v>
      </c>
      <c r="E44" s="220"/>
      <c r="F44" s="220"/>
      <c r="G44" s="220"/>
      <c r="H44" s="272">
        <f t="shared" si="1"/>
        <v>1493.4</v>
      </c>
    </row>
    <row r="45" spans="1:8" ht="16.5" x14ac:dyDescent="0.3">
      <c r="A45" s="234">
        <v>54112</v>
      </c>
      <c r="B45" s="223" t="s">
        <v>206</v>
      </c>
      <c r="C45" s="220">
        <f>+[2]Egresos_FF!C22</f>
        <v>0</v>
      </c>
      <c r="D45" s="80">
        <v>1000</v>
      </c>
      <c r="E45" s="225"/>
      <c r="F45" s="225"/>
      <c r="G45" s="225"/>
      <c r="H45" s="272">
        <f t="shared" si="1"/>
        <v>1000</v>
      </c>
    </row>
    <row r="46" spans="1:8" ht="16.5" x14ac:dyDescent="0.3">
      <c r="A46" s="234">
        <v>54113</v>
      </c>
      <c r="B46" s="223" t="s">
        <v>388</v>
      </c>
      <c r="C46" s="220">
        <v>0</v>
      </c>
      <c r="D46" s="80"/>
      <c r="E46" s="220"/>
      <c r="F46" s="220"/>
      <c r="G46" s="220"/>
      <c r="H46" s="272">
        <f t="shared" si="1"/>
        <v>0</v>
      </c>
    </row>
    <row r="47" spans="1:8" ht="16.5" x14ac:dyDescent="0.3">
      <c r="A47" s="234">
        <v>54114</v>
      </c>
      <c r="B47" s="223" t="s">
        <v>100</v>
      </c>
      <c r="C47" s="220"/>
      <c r="D47" s="80">
        <v>5255.48</v>
      </c>
      <c r="E47" s="220"/>
      <c r="F47" s="220"/>
      <c r="G47" s="220"/>
      <c r="H47" s="272">
        <f t="shared" si="1"/>
        <v>5255.48</v>
      </c>
    </row>
    <row r="48" spans="1:8" ht="16.5" x14ac:dyDescent="0.3">
      <c r="A48" s="234">
        <v>54115</v>
      </c>
      <c r="B48" s="223" t="s">
        <v>101</v>
      </c>
      <c r="C48" s="220">
        <v>0</v>
      </c>
      <c r="D48" s="80">
        <v>9259.0400000000009</v>
      </c>
      <c r="E48" s="220"/>
      <c r="F48" s="220"/>
      <c r="G48" s="220"/>
      <c r="H48" s="272">
        <f t="shared" si="1"/>
        <v>9259.0400000000009</v>
      </c>
    </row>
    <row r="49" spans="1:8" ht="16.5" x14ac:dyDescent="0.3">
      <c r="A49" s="234">
        <v>54116</v>
      </c>
      <c r="B49" s="223" t="s">
        <v>207</v>
      </c>
      <c r="C49" s="220">
        <f>+[2]Egresos_FF!C25</f>
        <v>0</v>
      </c>
      <c r="D49" s="80"/>
      <c r="E49" s="220"/>
      <c r="F49" s="220"/>
      <c r="G49" s="220"/>
      <c r="H49" s="272">
        <f t="shared" si="1"/>
        <v>0</v>
      </c>
    </row>
    <row r="50" spans="1:8" ht="16.5" x14ac:dyDescent="0.3">
      <c r="A50" s="234">
        <v>54117</v>
      </c>
      <c r="B50" s="223" t="s">
        <v>102</v>
      </c>
      <c r="C50" s="220">
        <f>+[2]Egresos_FF!C26</f>
        <v>0</v>
      </c>
      <c r="D50" s="80">
        <v>500</v>
      </c>
      <c r="E50" s="220"/>
      <c r="F50" s="220"/>
      <c r="G50" s="220"/>
      <c r="H50" s="272">
        <f t="shared" si="1"/>
        <v>500</v>
      </c>
    </row>
    <row r="51" spans="1:8" ht="16.5" x14ac:dyDescent="0.3">
      <c r="A51" s="234">
        <v>54118</v>
      </c>
      <c r="B51" s="223" t="s">
        <v>208</v>
      </c>
      <c r="C51" s="220">
        <v>0</v>
      </c>
      <c r="D51" s="80">
        <v>8398.81</v>
      </c>
      <c r="E51" s="220"/>
      <c r="F51" s="220"/>
      <c r="G51" s="220"/>
      <c r="H51" s="272">
        <f t="shared" si="1"/>
        <v>8398.81</v>
      </c>
    </row>
    <row r="52" spans="1:8" ht="16.5" x14ac:dyDescent="0.3">
      <c r="A52" s="234">
        <v>54119</v>
      </c>
      <c r="B52" s="223" t="s">
        <v>104</v>
      </c>
      <c r="C52" s="220">
        <f>+[2]Egresos_FF!C28</f>
        <v>0</v>
      </c>
      <c r="D52" s="80">
        <v>16215.5</v>
      </c>
      <c r="E52" s="220"/>
      <c r="F52" s="220"/>
      <c r="G52" s="220"/>
      <c r="H52" s="272">
        <f t="shared" si="1"/>
        <v>16215.5</v>
      </c>
    </row>
    <row r="53" spans="1:8" ht="16.5" x14ac:dyDescent="0.3">
      <c r="A53" s="234">
        <v>54121</v>
      </c>
      <c r="B53" s="223" t="s">
        <v>105</v>
      </c>
      <c r="C53" s="220">
        <v>0</v>
      </c>
      <c r="D53" s="80">
        <v>33444</v>
      </c>
      <c r="E53" s="220"/>
      <c r="F53" s="220"/>
      <c r="G53" s="220"/>
      <c r="H53" s="272">
        <f t="shared" si="1"/>
        <v>33444</v>
      </c>
    </row>
    <row r="54" spans="1:8" ht="16.5" x14ac:dyDescent="0.3">
      <c r="A54" s="234">
        <v>54199</v>
      </c>
      <c r="B54" s="223" t="s">
        <v>209</v>
      </c>
      <c r="C54" s="220">
        <f>+[2]Egresos_FF!C30</f>
        <v>0</v>
      </c>
      <c r="D54" s="220">
        <v>3536.08</v>
      </c>
      <c r="E54" s="220"/>
      <c r="F54" s="220"/>
      <c r="G54" s="220"/>
      <c r="H54" s="272">
        <f t="shared" si="1"/>
        <v>3536.08</v>
      </c>
    </row>
    <row r="55" spans="1:8" ht="16.5" x14ac:dyDescent="0.3">
      <c r="A55" s="231">
        <v>542</v>
      </c>
      <c r="B55" s="226" t="s">
        <v>47</v>
      </c>
      <c r="C55" s="225">
        <f>SUM(C56:C60)</f>
        <v>408000</v>
      </c>
      <c r="D55" s="225">
        <f>SUM(D56:D60)</f>
        <v>19600</v>
      </c>
      <c r="E55" s="220"/>
      <c r="F55" s="220"/>
      <c r="G55" s="220"/>
      <c r="H55" s="270">
        <f t="shared" si="1"/>
        <v>427600</v>
      </c>
    </row>
    <row r="56" spans="1:8" ht="16.5" x14ac:dyDescent="0.3">
      <c r="A56" s="234">
        <v>54201</v>
      </c>
      <c r="B56" s="223" t="s">
        <v>107</v>
      </c>
      <c r="C56" s="220">
        <v>294000</v>
      </c>
      <c r="D56" s="220">
        <v>4000</v>
      </c>
      <c r="E56" s="220"/>
      <c r="F56" s="220"/>
      <c r="G56" s="220"/>
      <c r="H56" s="272">
        <f t="shared" si="1"/>
        <v>298000</v>
      </c>
    </row>
    <row r="57" spans="1:8" ht="16.5" x14ac:dyDescent="0.3">
      <c r="A57" s="234">
        <v>54202</v>
      </c>
      <c r="B57" s="223" t="s">
        <v>108</v>
      </c>
      <c r="C57" s="220">
        <v>0</v>
      </c>
      <c r="D57" s="220">
        <v>3600</v>
      </c>
      <c r="E57" s="220"/>
      <c r="F57" s="220"/>
      <c r="G57" s="220"/>
      <c r="H57" s="272">
        <f t="shared" si="1"/>
        <v>3600</v>
      </c>
    </row>
    <row r="58" spans="1:8" ht="16.5" x14ac:dyDescent="0.3">
      <c r="A58" s="234">
        <v>54203</v>
      </c>
      <c r="B58" s="223" t="s">
        <v>109</v>
      </c>
      <c r="C58" s="220"/>
      <c r="D58" s="220">
        <v>10000</v>
      </c>
      <c r="E58" s="220"/>
      <c r="F58" s="220"/>
      <c r="G58" s="220"/>
      <c r="H58" s="272">
        <f t="shared" si="1"/>
        <v>10000</v>
      </c>
    </row>
    <row r="59" spans="1:8" ht="16.5" x14ac:dyDescent="0.3">
      <c r="A59" s="234">
        <v>54204</v>
      </c>
      <c r="B59" s="223" t="s">
        <v>210</v>
      </c>
      <c r="C59" s="220">
        <v>0</v>
      </c>
      <c r="D59" s="220"/>
      <c r="E59" s="220"/>
      <c r="F59" s="220"/>
      <c r="G59" s="220"/>
      <c r="H59" s="272">
        <f t="shared" si="1"/>
        <v>0</v>
      </c>
    </row>
    <row r="60" spans="1:8" ht="16.5" x14ac:dyDescent="0.3">
      <c r="A60" s="234">
        <v>54205</v>
      </c>
      <c r="B60" s="223" t="s">
        <v>30</v>
      </c>
      <c r="C60" s="220">
        <v>114000</v>
      </c>
      <c r="D60" s="220">
        <v>2000</v>
      </c>
      <c r="E60" s="225"/>
      <c r="F60" s="225"/>
      <c r="G60" s="225"/>
      <c r="H60" s="272">
        <f t="shared" si="1"/>
        <v>116000</v>
      </c>
    </row>
    <row r="61" spans="1:8" ht="16.5" x14ac:dyDescent="0.3">
      <c r="A61" s="231">
        <v>543</v>
      </c>
      <c r="B61" s="226" t="s">
        <v>211</v>
      </c>
      <c r="C61" s="225">
        <f>SUM(C62:C76)</f>
        <v>0</v>
      </c>
      <c r="D61" s="225">
        <f>SUM(D62:D76)</f>
        <v>50881</v>
      </c>
      <c r="E61" s="220"/>
      <c r="F61" s="220"/>
      <c r="G61" s="220"/>
      <c r="H61" s="270">
        <f t="shared" si="1"/>
        <v>50881</v>
      </c>
    </row>
    <row r="62" spans="1:8" ht="16.5" x14ac:dyDescent="0.3">
      <c r="A62" s="234">
        <v>54301</v>
      </c>
      <c r="B62" s="223" t="s">
        <v>212</v>
      </c>
      <c r="C62" s="220">
        <f>+[2]Egresos_FF!C38</f>
        <v>0</v>
      </c>
      <c r="D62" s="220">
        <v>6665</v>
      </c>
      <c r="E62" s="220"/>
      <c r="F62" s="220"/>
      <c r="G62" s="220"/>
      <c r="H62" s="272">
        <f t="shared" si="1"/>
        <v>6665</v>
      </c>
    </row>
    <row r="63" spans="1:8" ht="16.5" x14ac:dyDescent="0.3">
      <c r="A63" s="234">
        <v>54302</v>
      </c>
      <c r="B63" s="223" t="s">
        <v>213</v>
      </c>
      <c r="C63" s="220">
        <v>0</v>
      </c>
      <c r="D63" s="220">
        <v>27000</v>
      </c>
      <c r="E63" s="220"/>
      <c r="F63" s="220"/>
      <c r="G63" s="220"/>
      <c r="H63" s="272">
        <f t="shared" si="1"/>
        <v>27000</v>
      </c>
    </row>
    <row r="64" spans="1:8" ht="16.5" x14ac:dyDescent="0.3">
      <c r="A64" s="234">
        <v>54303</v>
      </c>
      <c r="B64" s="223" t="s">
        <v>214</v>
      </c>
      <c r="C64" s="220">
        <f>+[2]Egresos_FF!C40</f>
        <v>0</v>
      </c>
      <c r="D64" s="220">
        <v>2000</v>
      </c>
      <c r="E64" s="220"/>
      <c r="F64" s="220"/>
      <c r="G64" s="220"/>
      <c r="H64" s="272">
        <f t="shared" si="1"/>
        <v>2000</v>
      </c>
    </row>
    <row r="65" spans="1:8" ht="16.5" x14ac:dyDescent="0.3">
      <c r="A65" s="234">
        <v>54304</v>
      </c>
      <c r="B65" s="223" t="s">
        <v>115</v>
      </c>
      <c r="C65" s="220">
        <v>0</v>
      </c>
      <c r="D65" s="220">
        <v>1000</v>
      </c>
      <c r="E65" s="220"/>
      <c r="F65" s="220"/>
      <c r="G65" s="220"/>
      <c r="H65" s="272">
        <f t="shared" ref="H65:H90" si="2">SUM(C65:G65)</f>
        <v>1000</v>
      </c>
    </row>
    <row r="66" spans="1:8" ht="16.5" x14ac:dyDescent="0.3">
      <c r="A66" s="234">
        <v>54305</v>
      </c>
      <c r="B66" s="223" t="s">
        <v>116</v>
      </c>
      <c r="C66" s="220">
        <v>0</v>
      </c>
      <c r="D66" s="220">
        <v>1000</v>
      </c>
      <c r="E66" s="220"/>
      <c r="F66" s="220"/>
      <c r="G66" s="220"/>
      <c r="H66" s="272">
        <f t="shared" si="2"/>
        <v>1000</v>
      </c>
    </row>
    <row r="67" spans="1:8" ht="16.5" x14ac:dyDescent="0.3">
      <c r="A67" s="234">
        <v>54306</v>
      </c>
      <c r="B67" s="223" t="s">
        <v>215</v>
      </c>
      <c r="C67" s="220">
        <f>+[2]Egresos_FF!C43</f>
        <v>0</v>
      </c>
      <c r="D67" s="220"/>
      <c r="E67" s="220"/>
      <c r="F67" s="220"/>
      <c r="G67" s="220"/>
      <c r="H67" s="272">
        <f t="shared" si="2"/>
        <v>0</v>
      </c>
    </row>
    <row r="68" spans="1:8" ht="16.5" x14ac:dyDescent="0.3">
      <c r="A68" s="234">
        <v>54307</v>
      </c>
      <c r="B68" s="223" t="s">
        <v>216</v>
      </c>
      <c r="C68" s="220">
        <f>+[2]Egresos_FF!C44</f>
        <v>0</v>
      </c>
      <c r="D68" s="220"/>
      <c r="E68" s="225"/>
      <c r="F68" s="225"/>
      <c r="G68" s="225"/>
      <c r="H68" s="272">
        <f t="shared" si="2"/>
        <v>0</v>
      </c>
    </row>
    <row r="69" spans="1:8" ht="16.5" x14ac:dyDescent="0.3">
      <c r="A69" s="234">
        <v>54309</v>
      </c>
      <c r="B69" s="223" t="s">
        <v>217</v>
      </c>
      <c r="C69" s="220">
        <f>+[2]Egresos_FF!C45</f>
        <v>0</v>
      </c>
      <c r="D69" s="220"/>
      <c r="E69" s="225"/>
      <c r="F69" s="225"/>
      <c r="G69" s="225"/>
      <c r="H69" s="272">
        <f t="shared" si="2"/>
        <v>0</v>
      </c>
    </row>
    <row r="70" spans="1:8" ht="16.5" x14ac:dyDescent="0.3">
      <c r="A70" s="234">
        <v>54310</v>
      </c>
      <c r="B70" s="223" t="s">
        <v>117</v>
      </c>
      <c r="C70" s="220">
        <f>+[2]Egresos_FF!C46</f>
        <v>0</v>
      </c>
      <c r="D70" s="220">
        <v>1000</v>
      </c>
      <c r="E70" s="220"/>
      <c r="F70" s="220"/>
      <c r="G70" s="220"/>
      <c r="H70" s="272">
        <f t="shared" si="2"/>
        <v>1000</v>
      </c>
    </row>
    <row r="71" spans="1:8" ht="16.5" x14ac:dyDescent="0.3">
      <c r="A71" s="234">
        <v>54311</v>
      </c>
      <c r="B71" s="223" t="s">
        <v>118</v>
      </c>
      <c r="C71" s="220">
        <f>+[2]Egresos_FF!C47</f>
        <v>0</v>
      </c>
      <c r="D71" s="220"/>
      <c r="E71" s="220"/>
      <c r="F71" s="220"/>
      <c r="G71" s="220"/>
      <c r="H71" s="272">
        <f t="shared" si="2"/>
        <v>0</v>
      </c>
    </row>
    <row r="72" spans="1:8" ht="16.5" x14ac:dyDescent="0.3">
      <c r="A72" s="234">
        <v>54313</v>
      </c>
      <c r="B72" s="223" t="s">
        <v>218</v>
      </c>
      <c r="C72" s="220">
        <v>0</v>
      </c>
      <c r="D72" s="220">
        <v>1216</v>
      </c>
      <c r="E72" s="225"/>
      <c r="F72" s="225"/>
      <c r="G72" s="225"/>
      <c r="H72" s="272">
        <f t="shared" si="2"/>
        <v>1216</v>
      </c>
    </row>
    <row r="73" spans="1:8" ht="16.5" x14ac:dyDescent="0.3">
      <c r="A73" s="234">
        <v>54314</v>
      </c>
      <c r="B73" s="223" t="s">
        <v>120</v>
      </c>
      <c r="C73" s="220">
        <v>0</v>
      </c>
      <c r="D73" s="220">
        <v>2000</v>
      </c>
      <c r="E73" s="220"/>
      <c r="F73" s="220"/>
      <c r="G73" s="220"/>
      <c r="H73" s="272">
        <f t="shared" si="2"/>
        <v>2000</v>
      </c>
    </row>
    <row r="74" spans="1:8" ht="16.5" x14ac:dyDescent="0.3">
      <c r="A74" s="234">
        <v>54316</v>
      </c>
      <c r="B74" s="223" t="s">
        <v>121</v>
      </c>
      <c r="C74" s="220">
        <f>+[2]Egresos_FF!C50</f>
        <v>0</v>
      </c>
      <c r="D74" s="220">
        <v>1500</v>
      </c>
      <c r="E74" s="220"/>
      <c r="F74" s="220"/>
      <c r="G74" s="220"/>
      <c r="H74" s="272">
        <f t="shared" si="2"/>
        <v>1500</v>
      </c>
    </row>
    <row r="75" spans="1:8" ht="16.5" x14ac:dyDescent="0.3">
      <c r="A75" s="234">
        <v>54317</v>
      </c>
      <c r="B75" s="223" t="s">
        <v>122</v>
      </c>
      <c r="C75" s="220">
        <f>+[2]Egresos_FF!C51</f>
        <v>0</v>
      </c>
      <c r="D75" s="220">
        <v>3500</v>
      </c>
      <c r="E75" s="225"/>
      <c r="F75" s="225"/>
      <c r="G75" s="225"/>
      <c r="H75" s="272">
        <f t="shared" si="2"/>
        <v>3500</v>
      </c>
    </row>
    <row r="76" spans="1:8" ht="16.5" x14ac:dyDescent="0.3">
      <c r="A76" s="234">
        <v>54399</v>
      </c>
      <c r="B76" s="223" t="s">
        <v>219</v>
      </c>
      <c r="C76" s="220">
        <v>0</v>
      </c>
      <c r="D76" s="220">
        <v>4000</v>
      </c>
      <c r="E76" s="225"/>
      <c r="F76" s="225"/>
      <c r="G76" s="225"/>
      <c r="H76" s="272">
        <f t="shared" si="2"/>
        <v>4000</v>
      </c>
    </row>
    <row r="77" spans="1:8" ht="16.5" x14ac:dyDescent="0.3">
      <c r="A77" s="231">
        <v>544</v>
      </c>
      <c r="B77" s="226" t="s">
        <v>124</v>
      </c>
      <c r="C77" s="225">
        <f>SUM(C78:C81)</f>
        <v>0</v>
      </c>
      <c r="D77" s="225">
        <f>SUM(D78:D81)</f>
        <v>500</v>
      </c>
      <c r="E77" s="220"/>
      <c r="F77" s="220"/>
      <c r="G77" s="220"/>
      <c r="H77" s="270">
        <f t="shared" si="2"/>
        <v>500</v>
      </c>
    </row>
    <row r="78" spans="1:8" ht="16.5" x14ac:dyDescent="0.3">
      <c r="A78" s="234">
        <v>54401</v>
      </c>
      <c r="B78" s="223" t="s">
        <v>220</v>
      </c>
      <c r="C78" s="220">
        <v>0</v>
      </c>
      <c r="D78" s="220">
        <f>+[1]Egresos_FF!E145</f>
        <v>0</v>
      </c>
      <c r="E78" s="220"/>
      <c r="F78" s="220"/>
      <c r="G78" s="220"/>
      <c r="H78" s="272">
        <f t="shared" si="2"/>
        <v>0</v>
      </c>
    </row>
    <row r="79" spans="1:8" ht="16.5" x14ac:dyDescent="0.3">
      <c r="A79" s="234">
        <v>54402</v>
      </c>
      <c r="B79" s="223" t="s">
        <v>221</v>
      </c>
      <c r="C79" s="220">
        <v>0</v>
      </c>
      <c r="D79" s="220">
        <f>+[1]Egresos_FF!E146</f>
        <v>0</v>
      </c>
      <c r="E79" s="220"/>
      <c r="F79" s="220"/>
      <c r="G79" s="220"/>
      <c r="H79" s="272">
        <f t="shared" si="2"/>
        <v>0</v>
      </c>
    </row>
    <row r="80" spans="1:8" ht="16.5" x14ac:dyDescent="0.3">
      <c r="A80" s="234">
        <v>54403</v>
      </c>
      <c r="B80" s="223" t="s">
        <v>125</v>
      </c>
      <c r="C80" s="220">
        <v>0</v>
      </c>
      <c r="D80" s="220">
        <v>500</v>
      </c>
      <c r="E80" s="220"/>
      <c r="F80" s="220"/>
      <c r="G80" s="220"/>
      <c r="H80" s="272">
        <f t="shared" si="2"/>
        <v>500</v>
      </c>
    </row>
    <row r="81" spans="1:8" ht="16.5" x14ac:dyDescent="0.3">
      <c r="A81" s="234">
        <v>54404</v>
      </c>
      <c r="B81" s="223" t="s">
        <v>222</v>
      </c>
      <c r="C81" s="220">
        <v>0</v>
      </c>
      <c r="D81" s="220">
        <f>+[1]Egresos_FF!E148</f>
        <v>0</v>
      </c>
      <c r="E81" s="220"/>
      <c r="F81" s="220"/>
      <c r="G81" s="220"/>
      <c r="H81" s="272">
        <f t="shared" si="2"/>
        <v>0</v>
      </c>
    </row>
    <row r="82" spans="1:8" ht="16.5" x14ac:dyDescent="0.3">
      <c r="A82" s="231">
        <v>545</v>
      </c>
      <c r="B82" s="226" t="s">
        <v>223</v>
      </c>
      <c r="C82" s="225">
        <f>SUM(C83:C89)</f>
        <v>0</v>
      </c>
      <c r="D82" s="225">
        <f>SUM(D83:D89)</f>
        <v>16800</v>
      </c>
      <c r="E82" s="225"/>
      <c r="F82" s="225"/>
      <c r="G82" s="225"/>
      <c r="H82" s="270">
        <f t="shared" si="2"/>
        <v>16800</v>
      </c>
    </row>
    <row r="83" spans="1:8" ht="16.5" x14ac:dyDescent="0.3">
      <c r="A83" s="234">
        <v>54501</v>
      </c>
      <c r="B83" s="223" t="s">
        <v>224</v>
      </c>
      <c r="C83" s="220">
        <f>+[2]Egresos_FF!C59</f>
        <v>0</v>
      </c>
      <c r="D83" s="220">
        <f>+[1]Egresos_FF!E150</f>
        <v>0</v>
      </c>
      <c r="E83" s="225"/>
      <c r="F83" s="225"/>
      <c r="G83" s="225"/>
      <c r="H83" s="272">
        <f t="shared" si="2"/>
        <v>0</v>
      </c>
    </row>
    <row r="84" spans="1:8" ht="16.5" x14ac:dyDescent="0.3">
      <c r="A84" s="234">
        <v>54503</v>
      </c>
      <c r="B84" s="223" t="s">
        <v>127</v>
      </c>
      <c r="C84" s="220">
        <v>0</v>
      </c>
      <c r="D84" s="220">
        <v>8400</v>
      </c>
      <c r="E84" s="220"/>
      <c r="F84" s="220"/>
      <c r="G84" s="220"/>
      <c r="H84" s="272">
        <f t="shared" si="2"/>
        <v>8400</v>
      </c>
    </row>
    <row r="85" spans="1:8" ht="16.5" x14ac:dyDescent="0.3">
      <c r="A85" s="234">
        <v>54504</v>
      </c>
      <c r="B85" s="223" t="s">
        <v>128</v>
      </c>
      <c r="C85" s="220">
        <v>0</v>
      </c>
      <c r="D85" s="220">
        <v>8400</v>
      </c>
      <c r="E85" s="220"/>
      <c r="F85" s="220"/>
      <c r="G85" s="220"/>
      <c r="H85" s="272">
        <f t="shared" si="2"/>
        <v>8400</v>
      </c>
    </row>
    <row r="86" spans="1:8" ht="16.5" x14ac:dyDescent="0.3">
      <c r="A86" s="234">
        <v>54505</v>
      </c>
      <c r="B86" s="223" t="s">
        <v>225</v>
      </c>
      <c r="C86" s="220">
        <v>0</v>
      </c>
      <c r="D86" s="220"/>
      <c r="E86" s="225"/>
      <c r="F86" s="225"/>
      <c r="G86" s="225"/>
      <c r="H86" s="272">
        <f t="shared" si="2"/>
        <v>0</v>
      </c>
    </row>
    <row r="87" spans="1:8" ht="16.5" x14ac:dyDescent="0.3">
      <c r="A87" s="234">
        <v>54507</v>
      </c>
      <c r="B87" s="223" t="s">
        <v>226</v>
      </c>
      <c r="C87" s="220">
        <v>0</v>
      </c>
      <c r="D87" s="220"/>
      <c r="E87" s="225"/>
      <c r="F87" s="225"/>
      <c r="G87" s="225"/>
      <c r="H87" s="272">
        <f t="shared" si="2"/>
        <v>0</v>
      </c>
    </row>
    <row r="88" spans="1:8" ht="16.5" x14ac:dyDescent="0.3">
      <c r="A88" s="234">
        <v>54508</v>
      </c>
      <c r="B88" s="223" t="s">
        <v>227</v>
      </c>
      <c r="C88" s="220">
        <v>0</v>
      </c>
      <c r="D88" s="220"/>
      <c r="E88" s="220"/>
      <c r="F88" s="220"/>
      <c r="G88" s="220"/>
      <c r="H88" s="272">
        <f t="shared" si="2"/>
        <v>0</v>
      </c>
    </row>
    <row r="89" spans="1:8" ht="16.5" x14ac:dyDescent="0.3">
      <c r="A89" s="234">
        <v>54599</v>
      </c>
      <c r="B89" s="223" t="s">
        <v>228</v>
      </c>
      <c r="C89" s="220">
        <v>0</v>
      </c>
      <c r="D89" s="220"/>
      <c r="E89" s="225"/>
      <c r="F89" s="225"/>
      <c r="G89" s="225"/>
      <c r="H89" s="272">
        <f t="shared" si="2"/>
        <v>0</v>
      </c>
    </row>
    <row r="90" spans="1:8" ht="16.5" x14ac:dyDescent="0.3">
      <c r="A90" s="231">
        <v>546</v>
      </c>
      <c r="B90" s="226" t="s">
        <v>229</v>
      </c>
      <c r="C90" s="225">
        <f>SUM(C91:C92)</f>
        <v>216000</v>
      </c>
      <c r="D90" s="225">
        <f>SUM(D91:D92)</f>
        <v>0</v>
      </c>
      <c r="E90" s="225"/>
      <c r="F90" s="225"/>
      <c r="G90" s="225"/>
      <c r="H90" s="270">
        <f t="shared" si="2"/>
        <v>216000</v>
      </c>
    </row>
    <row r="91" spans="1:8" ht="16.5" x14ac:dyDescent="0.3">
      <c r="A91" s="77">
        <v>54602</v>
      </c>
      <c r="B91" s="78" t="s">
        <v>585</v>
      </c>
      <c r="C91" s="220">
        <v>216000</v>
      </c>
      <c r="D91" s="220"/>
      <c r="E91" s="225"/>
      <c r="F91" s="225"/>
      <c r="G91" s="225"/>
      <c r="H91" s="272">
        <v>30000</v>
      </c>
    </row>
    <row r="92" spans="1:8" ht="16.5" x14ac:dyDescent="0.3">
      <c r="A92" s="77">
        <v>54603</v>
      </c>
      <c r="B92" s="78" t="s">
        <v>230</v>
      </c>
      <c r="C92" s="220"/>
      <c r="D92" s="220"/>
      <c r="E92" s="212"/>
      <c r="F92" s="212"/>
      <c r="G92" s="212"/>
      <c r="H92" s="272">
        <v>10000</v>
      </c>
    </row>
    <row r="93" spans="1:8" ht="16.5" x14ac:dyDescent="0.3">
      <c r="A93" s="231">
        <v>55</v>
      </c>
      <c r="B93" s="226" t="s">
        <v>129</v>
      </c>
      <c r="C93" s="225">
        <f>+C94+C99+C103</f>
        <v>300</v>
      </c>
      <c r="D93" s="225">
        <f>+D94+D99+D103</f>
        <v>20371.21</v>
      </c>
      <c r="E93" s="212"/>
      <c r="F93" s="212"/>
      <c r="G93" s="212"/>
      <c r="H93" s="270">
        <f t="shared" ref="H93:H106" si="3">SUM(C93:G93)</f>
        <v>20671.21</v>
      </c>
    </row>
    <row r="94" spans="1:8" ht="16.5" x14ac:dyDescent="0.3">
      <c r="A94" s="231">
        <v>553</v>
      </c>
      <c r="B94" s="226" t="s">
        <v>231</v>
      </c>
      <c r="C94" s="225">
        <f>SUM(C95:C98)</f>
        <v>0</v>
      </c>
      <c r="D94" s="225">
        <f>SUM(D95:D98)</f>
        <v>3913.75</v>
      </c>
      <c r="E94" s="212"/>
      <c r="F94" s="212"/>
      <c r="G94" s="212"/>
      <c r="H94" s="270">
        <f t="shared" si="3"/>
        <v>3913.75</v>
      </c>
    </row>
    <row r="95" spans="1:8" ht="16.5" x14ac:dyDescent="0.3">
      <c r="A95" s="234">
        <v>55302</v>
      </c>
      <c r="B95" s="223" t="s">
        <v>250</v>
      </c>
      <c r="C95" s="220"/>
      <c r="D95" s="220">
        <f>+'Egresos F. F.'!C171</f>
        <v>0</v>
      </c>
      <c r="E95" s="220"/>
      <c r="F95" s="220"/>
      <c r="G95" s="220"/>
      <c r="H95" s="272">
        <f t="shared" si="3"/>
        <v>0</v>
      </c>
    </row>
    <row r="96" spans="1:8" ht="16.5" x14ac:dyDescent="0.3">
      <c r="A96" s="234">
        <v>55303</v>
      </c>
      <c r="B96" s="223" t="s">
        <v>233</v>
      </c>
      <c r="C96" s="220"/>
      <c r="D96" s="220">
        <v>3913.75</v>
      </c>
      <c r="E96" s="212"/>
      <c r="F96" s="212"/>
      <c r="G96" s="212"/>
      <c r="H96" s="272">
        <f t="shared" si="3"/>
        <v>3913.75</v>
      </c>
    </row>
    <row r="97" spans="1:8" ht="16.5" x14ac:dyDescent="0.3">
      <c r="A97" s="234">
        <v>55304</v>
      </c>
      <c r="B97" s="223" t="s">
        <v>63</v>
      </c>
      <c r="C97" s="220"/>
      <c r="D97" s="220">
        <f>+'Egresos F. F.'!C173</f>
        <v>0</v>
      </c>
      <c r="E97" s="212"/>
      <c r="F97" s="212"/>
      <c r="G97" s="212"/>
      <c r="H97" s="272">
        <f t="shared" si="3"/>
        <v>0</v>
      </c>
    </row>
    <row r="98" spans="1:8" ht="16.5" x14ac:dyDescent="0.3">
      <c r="A98" s="234">
        <v>55308</v>
      </c>
      <c r="B98" s="223" t="s">
        <v>234</v>
      </c>
      <c r="C98" s="220"/>
      <c r="D98" s="220"/>
      <c r="E98" s="212"/>
      <c r="F98" s="212"/>
      <c r="G98" s="212"/>
      <c r="H98" s="272">
        <f t="shared" si="3"/>
        <v>0</v>
      </c>
    </row>
    <row r="99" spans="1:8" ht="16.5" x14ac:dyDescent="0.3">
      <c r="A99" s="231">
        <v>556</v>
      </c>
      <c r="B99" s="226" t="s">
        <v>235</v>
      </c>
      <c r="C99" s="225">
        <f>SUM(C100:C102)</f>
        <v>300</v>
      </c>
      <c r="D99" s="225">
        <f>SUM(D100:D102)</f>
        <v>16457.46</v>
      </c>
      <c r="E99" s="212"/>
      <c r="F99" s="212"/>
      <c r="G99" s="212"/>
      <c r="H99" s="270">
        <f t="shared" si="3"/>
        <v>16757.46</v>
      </c>
    </row>
    <row r="100" spans="1:8" ht="16.5" x14ac:dyDescent="0.3">
      <c r="A100" s="234">
        <v>55601</v>
      </c>
      <c r="B100" s="223" t="s">
        <v>236</v>
      </c>
      <c r="C100" s="220">
        <f>+[2]Egresos_FF!C73</f>
        <v>0</v>
      </c>
      <c r="D100" s="220">
        <v>12000</v>
      </c>
      <c r="E100" s="212"/>
      <c r="F100" s="212"/>
      <c r="G100" s="212"/>
      <c r="H100" s="272">
        <f t="shared" si="3"/>
        <v>12000</v>
      </c>
    </row>
    <row r="101" spans="1:8" ht="16.5" x14ac:dyDescent="0.3">
      <c r="A101" s="234">
        <v>55602</v>
      </c>
      <c r="B101" s="223" t="s">
        <v>134</v>
      </c>
      <c r="C101" s="220">
        <f>+[2]Egresos_FF!C74</f>
        <v>0</v>
      </c>
      <c r="D101" s="220">
        <v>4000</v>
      </c>
      <c r="E101" s="212"/>
      <c r="F101" s="212"/>
      <c r="G101" s="212"/>
      <c r="H101" s="272">
        <f t="shared" si="3"/>
        <v>4000</v>
      </c>
    </row>
    <row r="102" spans="1:8" ht="16.5" x14ac:dyDescent="0.3">
      <c r="A102" s="234">
        <v>55603</v>
      </c>
      <c r="B102" s="223" t="s">
        <v>237</v>
      </c>
      <c r="C102" s="220">
        <v>300</v>
      </c>
      <c r="D102" s="220">
        <v>457.46</v>
      </c>
      <c r="E102" s="212"/>
      <c r="F102" s="212"/>
      <c r="G102" s="212"/>
      <c r="H102" s="272">
        <f t="shared" si="3"/>
        <v>757.46</v>
      </c>
    </row>
    <row r="103" spans="1:8" ht="16.5" x14ac:dyDescent="0.3">
      <c r="A103" s="231">
        <v>557</v>
      </c>
      <c r="B103" s="226" t="s">
        <v>136</v>
      </c>
      <c r="C103" s="225">
        <f>SUM(C104:C106)</f>
        <v>0</v>
      </c>
      <c r="D103" s="225">
        <f>SUM(D104:D106)</f>
        <v>0</v>
      </c>
      <c r="E103" s="212"/>
      <c r="F103" s="212"/>
      <c r="G103" s="212"/>
      <c r="H103" s="270">
        <f t="shared" si="3"/>
        <v>0</v>
      </c>
    </row>
    <row r="104" spans="1:8" ht="16.5" x14ac:dyDescent="0.3">
      <c r="A104" s="234">
        <v>55701</v>
      </c>
      <c r="B104" s="223" t="s">
        <v>238</v>
      </c>
      <c r="C104" s="220">
        <f>+[2]Egresos_FF!C77</f>
        <v>0</v>
      </c>
      <c r="D104" s="220">
        <f>+[1]Egresos_FF!E169</f>
        <v>0</v>
      </c>
      <c r="E104" s="212"/>
      <c r="F104" s="212"/>
      <c r="G104" s="212"/>
      <c r="H104" s="272">
        <f t="shared" si="3"/>
        <v>0</v>
      </c>
    </row>
    <row r="105" spans="1:8" ht="16.5" x14ac:dyDescent="0.3">
      <c r="A105" s="234">
        <v>55702</v>
      </c>
      <c r="B105" s="223" t="s">
        <v>239</v>
      </c>
      <c r="C105" s="220">
        <f>+[2]Egresos_FF!C78</f>
        <v>0</v>
      </c>
      <c r="D105" s="220">
        <f>+[1]Egresos_FF!E170</f>
        <v>0</v>
      </c>
      <c r="E105" s="212"/>
      <c r="F105" s="212"/>
      <c r="G105" s="212"/>
      <c r="H105" s="272">
        <f t="shared" si="3"/>
        <v>0</v>
      </c>
    </row>
    <row r="106" spans="1:8" ht="16.5" x14ac:dyDescent="0.3">
      <c r="A106" s="234">
        <v>55799</v>
      </c>
      <c r="B106" s="223" t="s">
        <v>137</v>
      </c>
      <c r="C106" s="220">
        <v>0</v>
      </c>
      <c r="D106" s="220"/>
      <c r="E106" s="212"/>
      <c r="F106" s="212"/>
      <c r="G106" s="212"/>
      <c r="H106" s="272">
        <f t="shared" si="3"/>
        <v>0</v>
      </c>
    </row>
    <row r="107" spans="1:8" ht="16.5" x14ac:dyDescent="0.3">
      <c r="A107" s="234"/>
      <c r="B107" s="223"/>
      <c r="C107" s="220"/>
      <c r="D107" s="220"/>
      <c r="E107" s="212"/>
      <c r="F107" s="212"/>
      <c r="G107" s="212"/>
      <c r="H107" s="272"/>
    </row>
    <row r="108" spans="1:8" ht="16.5" x14ac:dyDescent="0.3">
      <c r="A108" s="231">
        <v>56</v>
      </c>
      <c r="B108" s="226" t="s">
        <v>57</v>
      </c>
      <c r="C108" s="225">
        <f>SUM(C109+C112)</f>
        <v>0</v>
      </c>
      <c r="D108" s="225">
        <f>+D109+D112</f>
        <v>4000</v>
      </c>
      <c r="E108" s="212"/>
      <c r="F108" s="212"/>
      <c r="G108" s="212"/>
      <c r="H108" s="270">
        <f t="shared" ref="H108:H115" si="4">SUM(C108:G108)</f>
        <v>4000</v>
      </c>
    </row>
    <row r="109" spans="1:8" ht="16.5" x14ac:dyDescent="0.3">
      <c r="A109" s="231">
        <v>562</v>
      </c>
      <c r="B109" s="226" t="s">
        <v>138</v>
      </c>
      <c r="C109" s="225">
        <f>SUM(C110:C111)</f>
        <v>0</v>
      </c>
      <c r="D109" s="225">
        <f>SUM(D110:D111)</f>
        <v>0</v>
      </c>
      <c r="E109" s="212"/>
      <c r="F109" s="212"/>
      <c r="G109" s="212"/>
      <c r="H109" s="270">
        <f t="shared" si="4"/>
        <v>0</v>
      </c>
    </row>
    <row r="110" spans="1:8" ht="16.5" x14ac:dyDescent="0.3">
      <c r="A110" s="234">
        <v>56201</v>
      </c>
      <c r="B110" s="223" t="s">
        <v>241</v>
      </c>
      <c r="C110" s="220"/>
      <c r="D110" s="220"/>
      <c r="E110" s="212"/>
      <c r="F110" s="212"/>
      <c r="G110" s="212"/>
      <c r="H110" s="272">
        <f t="shared" si="4"/>
        <v>0</v>
      </c>
    </row>
    <row r="111" spans="1:8" ht="16.5" x14ac:dyDescent="0.3">
      <c r="A111" s="234">
        <v>56202</v>
      </c>
      <c r="B111" s="223" t="s">
        <v>252</v>
      </c>
      <c r="C111" s="220">
        <v>0</v>
      </c>
      <c r="D111" s="220">
        <v>0</v>
      </c>
      <c r="E111" s="212"/>
      <c r="F111" s="212"/>
      <c r="G111" s="212"/>
      <c r="H111" s="272">
        <f t="shared" si="4"/>
        <v>0</v>
      </c>
    </row>
    <row r="112" spans="1:8" ht="16.5" x14ac:dyDescent="0.3">
      <c r="A112" s="231">
        <v>563</v>
      </c>
      <c r="B112" s="226" t="s">
        <v>139</v>
      </c>
      <c r="C112" s="225">
        <f>SUM(C113:C114)</f>
        <v>0</v>
      </c>
      <c r="D112" s="225">
        <f>SUM(D113:D115)</f>
        <v>4000</v>
      </c>
      <c r="E112" s="212"/>
      <c r="F112" s="212"/>
      <c r="G112" s="212"/>
      <c r="H112" s="270">
        <f t="shared" si="4"/>
        <v>4000</v>
      </c>
    </row>
    <row r="113" spans="1:8" ht="16.5" x14ac:dyDescent="0.3">
      <c r="A113" s="234">
        <v>56303</v>
      </c>
      <c r="B113" s="223" t="s">
        <v>241</v>
      </c>
      <c r="C113" s="220">
        <v>0</v>
      </c>
      <c r="D113" s="220">
        <v>2000</v>
      </c>
      <c r="E113" s="212"/>
      <c r="F113" s="212"/>
      <c r="G113" s="212"/>
      <c r="H113" s="272">
        <f t="shared" si="4"/>
        <v>2000</v>
      </c>
    </row>
    <row r="114" spans="1:8" ht="16.5" x14ac:dyDescent="0.3">
      <c r="A114" s="234">
        <v>56304</v>
      </c>
      <c r="B114" s="223" t="s">
        <v>141</v>
      </c>
      <c r="C114" s="220">
        <v>0</v>
      </c>
      <c r="D114" s="220">
        <v>2000</v>
      </c>
      <c r="E114" s="212"/>
      <c r="F114" s="212"/>
      <c r="G114" s="212"/>
      <c r="H114" s="272">
        <f t="shared" si="4"/>
        <v>2000</v>
      </c>
    </row>
    <row r="115" spans="1:8" ht="16.5" x14ac:dyDescent="0.3">
      <c r="A115" s="234">
        <v>56305</v>
      </c>
      <c r="B115" s="223" t="s">
        <v>142</v>
      </c>
      <c r="C115" s="220"/>
      <c r="D115" s="220"/>
      <c r="E115" s="212"/>
      <c r="F115" s="212"/>
      <c r="G115" s="212"/>
      <c r="H115" s="272">
        <f t="shared" si="4"/>
        <v>0</v>
      </c>
    </row>
    <row r="116" spans="1:8" ht="16.5" x14ac:dyDescent="0.3">
      <c r="A116" s="234"/>
      <c r="B116" s="223"/>
      <c r="C116" s="220"/>
      <c r="D116" s="220"/>
      <c r="E116" s="212"/>
      <c r="F116" s="212"/>
      <c r="G116" s="212"/>
      <c r="H116" s="272"/>
    </row>
    <row r="117" spans="1:8" ht="16.5" x14ac:dyDescent="0.3">
      <c r="A117" s="273" t="s">
        <v>389</v>
      </c>
      <c r="B117" s="224" t="s">
        <v>143</v>
      </c>
      <c r="C117" s="225">
        <f>+C118</f>
        <v>0</v>
      </c>
      <c r="D117" s="225">
        <f>+D118</f>
        <v>2000</v>
      </c>
      <c r="E117" s="212"/>
      <c r="F117" s="212"/>
      <c r="G117" s="212"/>
      <c r="H117" s="270">
        <f t="shared" ref="H117:H126" si="5">SUM(C117:G117)</f>
        <v>2000</v>
      </c>
    </row>
    <row r="118" spans="1:8" ht="16.5" x14ac:dyDescent="0.3">
      <c r="A118" s="273" t="s">
        <v>390</v>
      </c>
      <c r="B118" s="224" t="s">
        <v>144</v>
      </c>
      <c r="C118" s="225">
        <f>SUM(C119:C127)</f>
        <v>0</v>
      </c>
      <c r="D118" s="225">
        <f>SUM(D119:D127)</f>
        <v>2000</v>
      </c>
      <c r="E118" s="212"/>
      <c r="F118" s="212"/>
      <c r="G118" s="212"/>
      <c r="H118" s="270">
        <f t="shared" si="5"/>
        <v>2000</v>
      </c>
    </row>
    <row r="119" spans="1:8" ht="16.5" x14ac:dyDescent="0.3">
      <c r="A119" s="271" t="s">
        <v>391</v>
      </c>
      <c r="B119" s="218" t="s">
        <v>392</v>
      </c>
      <c r="C119" s="220">
        <v>0</v>
      </c>
      <c r="D119" s="220"/>
      <c r="E119" s="212"/>
      <c r="F119" s="212"/>
      <c r="G119" s="212"/>
      <c r="H119" s="272">
        <f t="shared" si="5"/>
        <v>0</v>
      </c>
    </row>
    <row r="120" spans="1:8" ht="16.5" x14ac:dyDescent="0.3">
      <c r="A120" s="271" t="s">
        <v>393</v>
      </c>
      <c r="B120" s="218" t="s">
        <v>394</v>
      </c>
      <c r="C120" s="220">
        <v>0</v>
      </c>
      <c r="D120" s="220"/>
      <c r="E120" s="212"/>
      <c r="F120" s="212"/>
      <c r="G120" s="212"/>
      <c r="H120" s="272">
        <f t="shared" si="5"/>
        <v>0</v>
      </c>
    </row>
    <row r="121" spans="1:8" ht="16.5" x14ac:dyDescent="0.3">
      <c r="A121" s="271" t="s">
        <v>395</v>
      </c>
      <c r="B121" s="218" t="s">
        <v>396</v>
      </c>
      <c r="C121" s="220">
        <v>0</v>
      </c>
      <c r="D121" s="220"/>
      <c r="E121" s="212"/>
      <c r="F121" s="212"/>
      <c r="G121" s="212"/>
      <c r="H121" s="272">
        <f t="shared" si="5"/>
        <v>0</v>
      </c>
    </row>
    <row r="122" spans="1:8" ht="16.5" x14ac:dyDescent="0.3">
      <c r="A122" s="271" t="s">
        <v>397</v>
      </c>
      <c r="B122" s="218" t="s">
        <v>147</v>
      </c>
      <c r="C122" s="220">
        <v>0</v>
      </c>
      <c r="D122" s="220">
        <v>2000</v>
      </c>
      <c r="E122" s="212"/>
      <c r="F122" s="212"/>
      <c r="G122" s="212"/>
      <c r="H122" s="272">
        <f t="shared" si="5"/>
        <v>2000</v>
      </c>
    </row>
    <row r="123" spans="1:8" ht="16.5" x14ac:dyDescent="0.3">
      <c r="A123" s="271" t="s">
        <v>398</v>
      </c>
      <c r="B123" s="218" t="s">
        <v>163</v>
      </c>
      <c r="C123" s="220">
        <v>0</v>
      </c>
      <c r="D123" s="220">
        <v>0</v>
      </c>
      <c r="E123" s="212"/>
      <c r="F123" s="212"/>
      <c r="G123" s="212"/>
      <c r="H123" s="272">
        <f t="shared" si="5"/>
        <v>0</v>
      </c>
    </row>
    <row r="124" spans="1:8" ht="16.5" x14ac:dyDescent="0.3">
      <c r="A124" s="271" t="s">
        <v>399</v>
      </c>
      <c r="B124" s="218" t="s">
        <v>400</v>
      </c>
      <c r="C124" s="220">
        <v>0</v>
      </c>
      <c r="D124" s="220">
        <v>0</v>
      </c>
      <c r="E124" s="212"/>
      <c r="F124" s="212"/>
      <c r="G124" s="212"/>
      <c r="H124" s="272">
        <f t="shared" si="5"/>
        <v>0</v>
      </c>
    </row>
    <row r="125" spans="1:8" ht="16.5" x14ac:dyDescent="0.3">
      <c r="A125" s="271" t="s">
        <v>401</v>
      </c>
      <c r="B125" s="218" t="s">
        <v>402</v>
      </c>
      <c r="C125" s="220">
        <v>0</v>
      </c>
      <c r="D125" s="220">
        <v>0</v>
      </c>
      <c r="E125" s="212"/>
      <c r="F125" s="212"/>
      <c r="G125" s="212"/>
      <c r="H125" s="272">
        <f t="shared" si="5"/>
        <v>0</v>
      </c>
    </row>
    <row r="126" spans="1:8" ht="16.5" x14ac:dyDescent="0.3">
      <c r="A126" s="271" t="s">
        <v>403</v>
      </c>
      <c r="B126" s="218" t="s">
        <v>404</v>
      </c>
      <c r="C126" s="220">
        <v>0</v>
      </c>
      <c r="D126" s="220">
        <v>0</v>
      </c>
      <c r="E126" s="212"/>
      <c r="F126" s="212"/>
      <c r="G126" s="212"/>
      <c r="H126" s="272">
        <f t="shared" si="5"/>
        <v>0</v>
      </c>
    </row>
    <row r="127" spans="1:8" ht="16.5" x14ac:dyDescent="0.3">
      <c r="A127" s="234">
        <v>61599</v>
      </c>
      <c r="B127" s="223" t="s">
        <v>405</v>
      </c>
      <c r="C127" s="220"/>
      <c r="D127" s="220"/>
      <c r="E127" s="212"/>
      <c r="F127" s="212"/>
      <c r="G127" s="212"/>
      <c r="H127" s="272"/>
    </row>
    <row r="128" spans="1:8" ht="16.5" x14ac:dyDescent="0.3">
      <c r="A128" s="234"/>
      <c r="B128" s="223"/>
      <c r="C128" s="220"/>
      <c r="D128" s="220"/>
      <c r="E128" s="212"/>
      <c r="F128" s="212"/>
      <c r="G128" s="212"/>
      <c r="H128" s="272"/>
    </row>
    <row r="129" spans="1:8" ht="16.5" x14ac:dyDescent="0.3">
      <c r="A129" s="231">
        <v>72</v>
      </c>
      <c r="B129" s="226" t="s">
        <v>182</v>
      </c>
      <c r="C129" s="225">
        <f>+C130</f>
        <v>80600.12</v>
      </c>
      <c r="D129" s="225">
        <f>+D130</f>
        <v>0</v>
      </c>
      <c r="E129" s="212"/>
      <c r="F129" s="212"/>
      <c r="G129" s="212"/>
      <c r="H129" s="270">
        <f>SUM(C129:G129)</f>
        <v>80600.12</v>
      </c>
    </row>
    <row r="130" spans="1:8" ht="16.5" x14ac:dyDescent="0.3">
      <c r="A130" s="231">
        <v>721</v>
      </c>
      <c r="B130" s="226" t="s">
        <v>406</v>
      </c>
      <c r="C130" s="225">
        <f>+C131</f>
        <v>80600.12</v>
      </c>
      <c r="D130" s="225">
        <f>+D131</f>
        <v>0</v>
      </c>
      <c r="E130" s="212"/>
      <c r="F130" s="212"/>
      <c r="G130" s="212"/>
      <c r="H130" s="270">
        <f>SUM(C130:G130)</f>
        <v>80600.12</v>
      </c>
    </row>
    <row r="131" spans="1:8" ht="16.5" x14ac:dyDescent="0.3">
      <c r="A131" s="234">
        <v>72101</v>
      </c>
      <c r="B131" s="223" t="s">
        <v>406</v>
      </c>
      <c r="C131" s="220">
        <v>80600.12</v>
      </c>
      <c r="D131" s="220"/>
      <c r="E131" s="212"/>
      <c r="F131" s="212"/>
      <c r="G131" s="212"/>
      <c r="H131" s="272">
        <f>SUM(C131:G131)</f>
        <v>80600.12</v>
      </c>
    </row>
    <row r="132" spans="1:8" ht="16.5" x14ac:dyDescent="0.3">
      <c r="A132" s="234"/>
      <c r="B132" s="223"/>
      <c r="C132" s="220"/>
      <c r="D132" s="220"/>
      <c r="E132" s="212"/>
      <c r="F132" s="212"/>
      <c r="G132" s="212"/>
      <c r="H132" s="272"/>
    </row>
    <row r="133" spans="1:8" ht="16.5" x14ac:dyDescent="0.3">
      <c r="A133" s="231">
        <v>99</v>
      </c>
      <c r="B133" s="226" t="s">
        <v>407</v>
      </c>
      <c r="C133" s="225">
        <f>+C134</f>
        <v>0</v>
      </c>
      <c r="D133" s="225">
        <f>+D134</f>
        <v>0</v>
      </c>
      <c r="E133" s="212"/>
      <c r="F133" s="212"/>
      <c r="G133" s="212"/>
      <c r="H133" s="270">
        <f>SUM(C133:G133)</f>
        <v>0</v>
      </c>
    </row>
    <row r="134" spans="1:8" ht="16.5" x14ac:dyDescent="0.3">
      <c r="A134" s="231">
        <v>991</v>
      </c>
      <c r="B134" s="226" t="s">
        <v>408</v>
      </c>
      <c r="C134" s="225">
        <f>+C135</f>
        <v>0</v>
      </c>
      <c r="D134" s="225">
        <f>+D135</f>
        <v>0</v>
      </c>
      <c r="E134" s="212"/>
      <c r="F134" s="212"/>
      <c r="G134" s="212"/>
      <c r="H134" s="270">
        <f>SUM(C134:G134)</f>
        <v>0</v>
      </c>
    </row>
    <row r="135" spans="1:8" ht="17.25" thickBot="1" x14ac:dyDescent="0.35">
      <c r="A135" s="274">
        <v>99101</v>
      </c>
      <c r="B135" s="275" t="s">
        <v>408</v>
      </c>
      <c r="C135" s="276">
        <v>0</v>
      </c>
      <c r="D135" s="276">
        <v>0</v>
      </c>
      <c r="E135" s="277"/>
      <c r="F135" s="277"/>
      <c r="G135" s="277"/>
      <c r="H135" s="278">
        <f>SUM(C135:G135)</f>
        <v>0</v>
      </c>
    </row>
    <row r="136" spans="1:8" ht="17.25" thickBot="1" x14ac:dyDescent="0.35">
      <c r="A136" s="58"/>
      <c r="B136" s="115" t="s">
        <v>67</v>
      </c>
      <c r="C136" s="279">
        <f>+C11+C33+C93+C108+C117+C129+C133</f>
        <v>488900.12</v>
      </c>
      <c r="D136" s="279">
        <f>+D11+D33+D93+D108+D117+D129+D133</f>
        <v>2183928.59</v>
      </c>
      <c r="E136" s="279">
        <f>+E133+E129+E117+E108+E93+E33+E11</f>
        <v>0</v>
      </c>
      <c r="F136" s="279">
        <f>+F133+F129+F117+F108+F93+F33+F11</f>
        <v>0</v>
      </c>
      <c r="G136" s="279">
        <f>+G133+G129+G117+G108+G93+G33+G11</f>
        <v>0</v>
      </c>
      <c r="H136" s="280">
        <f>SUM(C136:G136)</f>
        <v>2672828.71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120" zoomScaleNormal="120" workbookViewId="0">
      <pane ySplit="9" topLeftCell="A36" activePane="bottomLeft" state="frozen"/>
      <selection pane="bottomLeft" activeCell="G6" sqref="G6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11.7109375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571" t="s">
        <v>470</v>
      </c>
      <c r="B1" s="571"/>
      <c r="C1" s="571"/>
      <c r="D1" s="571"/>
      <c r="E1" s="571"/>
      <c r="F1" s="571"/>
      <c r="G1" s="571"/>
      <c r="H1" s="571"/>
      <c r="I1" s="571"/>
    </row>
    <row r="2" spans="1:9" ht="16.5" x14ac:dyDescent="0.3">
      <c r="A2" s="593" t="s">
        <v>253</v>
      </c>
      <c r="B2" s="593"/>
      <c r="C2" s="593"/>
      <c r="D2" s="593"/>
      <c r="E2" s="593"/>
      <c r="F2" s="593"/>
      <c r="G2" s="593"/>
      <c r="H2" s="593"/>
      <c r="I2" s="593"/>
    </row>
    <row r="3" spans="1:9" ht="16.5" x14ac:dyDescent="0.3">
      <c r="A3" s="88" t="s">
        <v>471</v>
      </c>
      <c r="B3" s="88"/>
      <c r="C3" s="88"/>
      <c r="D3" s="88"/>
      <c r="E3" s="88"/>
      <c r="F3" s="88"/>
      <c r="G3" s="88"/>
      <c r="H3" s="88"/>
      <c r="I3" s="88"/>
    </row>
    <row r="4" spans="1:9" ht="16.5" x14ac:dyDescent="0.3">
      <c r="A4" s="88" t="s">
        <v>704</v>
      </c>
      <c r="B4" s="88"/>
      <c r="C4" s="228"/>
      <c r="D4" s="227" t="s">
        <v>8</v>
      </c>
      <c r="E4" s="228"/>
      <c r="F4" s="228"/>
      <c r="G4" s="228"/>
      <c r="H4" s="228"/>
      <c r="I4" s="228"/>
    </row>
    <row r="5" spans="1:9" ht="16.5" x14ac:dyDescent="0.3">
      <c r="A5" s="88" t="s">
        <v>472</v>
      </c>
      <c r="B5" s="88"/>
      <c r="C5" s="228"/>
      <c r="D5" s="228"/>
      <c r="E5" s="228"/>
      <c r="F5" s="228"/>
      <c r="G5" s="228"/>
      <c r="H5" s="228"/>
      <c r="I5" s="228"/>
    </row>
    <row r="6" spans="1:9" ht="16.5" x14ac:dyDescent="0.3">
      <c r="A6" s="88" t="s">
        <v>473</v>
      </c>
      <c r="B6" s="88"/>
      <c r="C6" s="228"/>
      <c r="D6" s="228"/>
      <c r="E6" s="228"/>
      <c r="F6" s="228"/>
      <c r="G6" s="228"/>
      <c r="H6" s="228"/>
      <c r="I6" s="228"/>
    </row>
    <row r="7" spans="1:9" ht="17.25" thickBot="1" x14ac:dyDescent="0.35">
      <c r="A7" s="88" t="s">
        <v>474</v>
      </c>
      <c r="B7" s="88"/>
      <c r="C7" s="228"/>
      <c r="D7" s="228"/>
      <c r="E7" s="228"/>
      <c r="F7" s="228"/>
      <c r="G7" s="228"/>
      <c r="H7" s="228"/>
      <c r="I7" s="228"/>
    </row>
    <row r="8" spans="1:9" ht="17.25" thickBot="1" x14ac:dyDescent="0.3">
      <c r="A8" s="594" t="s">
        <v>254</v>
      </c>
      <c r="B8" s="594" t="s">
        <v>255</v>
      </c>
      <c r="C8" s="596" t="s">
        <v>256</v>
      </c>
      <c r="D8" s="598" t="s">
        <v>257</v>
      </c>
      <c r="E8" s="599"/>
      <c r="F8" s="599"/>
      <c r="G8" s="599"/>
      <c r="H8" s="600"/>
      <c r="I8" s="601" t="s">
        <v>258</v>
      </c>
    </row>
    <row r="9" spans="1:9" ht="30.75" customHeight="1" thickBot="1" x14ac:dyDescent="0.35">
      <c r="A9" s="595"/>
      <c r="B9" s="595"/>
      <c r="C9" s="597"/>
      <c r="D9" s="229" t="s">
        <v>259</v>
      </c>
      <c r="E9" s="510" t="s">
        <v>738</v>
      </c>
      <c r="F9" s="467" t="s">
        <v>694</v>
      </c>
      <c r="G9" s="510" t="s">
        <v>648</v>
      </c>
      <c r="H9" s="230" t="s">
        <v>262</v>
      </c>
      <c r="I9" s="597"/>
    </row>
    <row r="10" spans="1:9" ht="16.5" x14ac:dyDescent="0.3">
      <c r="A10" s="245">
        <v>615</v>
      </c>
      <c r="B10" s="246"/>
      <c r="C10" s="247" t="s">
        <v>150</v>
      </c>
      <c r="D10" s="248">
        <f>SUM(D11:D12)</f>
        <v>0</v>
      </c>
      <c r="E10" s="248">
        <f>SUM(E11:E12)</f>
        <v>0</v>
      </c>
      <c r="F10" s="248">
        <f>SUM(F11:F12)</f>
        <v>0</v>
      </c>
      <c r="G10" s="248">
        <f>SUM(G11:G12)</f>
        <v>0</v>
      </c>
      <c r="H10" s="248">
        <f>SUM(H11:H12)</f>
        <v>0</v>
      </c>
      <c r="I10" s="249">
        <f>SUM(D10:H10)</f>
        <v>0</v>
      </c>
    </row>
    <row r="11" spans="1:9" ht="16.5" x14ac:dyDescent="0.3">
      <c r="A11" s="234">
        <v>61501</v>
      </c>
      <c r="B11" s="222"/>
      <c r="C11" s="224" t="s">
        <v>263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6">
        <f>SUM(D11:H11)</f>
        <v>0</v>
      </c>
    </row>
    <row r="12" spans="1:9" ht="16.5" x14ac:dyDescent="0.3">
      <c r="A12" s="234">
        <v>61599</v>
      </c>
      <c r="B12" s="222"/>
      <c r="C12" s="218" t="s">
        <v>265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6">
        <f>SUM(D12:H12)</f>
        <v>0</v>
      </c>
    </row>
    <row r="13" spans="1:9" ht="12.75" customHeight="1" x14ac:dyDescent="0.3">
      <c r="A13" s="130"/>
      <c r="B13" s="127"/>
      <c r="C13" s="218"/>
      <c r="D13" s="235"/>
      <c r="E13" s="235"/>
      <c r="F13" s="235"/>
      <c r="G13" s="235"/>
      <c r="H13" s="235"/>
      <c r="I13" s="236"/>
    </row>
    <row r="14" spans="1:9" ht="16.5" x14ac:dyDescent="0.3">
      <c r="A14" s="231">
        <v>616</v>
      </c>
      <c r="B14" s="215"/>
      <c r="C14" s="224" t="s">
        <v>152</v>
      </c>
      <c r="D14" s="232">
        <f>SUM(D15+D16+D17+D32+D36)</f>
        <v>10188.379999999999</v>
      </c>
      <c r="E14" s="232">
        <f>SUM(E15+E16+E17+E32)</f>
        <v>62000</v>
      </c>
      <c r="F14" s="232">
        <f>SUM(F15+F16+F17++F30+F32+F33+F36)</f>
        <v>60000</v>
      </c>
      <c r="G14" s="232">
        <f>SUM(G15+G16+G17+G32)</f>
        <v>0</v>
      </c>
      <c r="H14" s="232">
        <f>SUM(H15+H16+H17++H30+H32+H33+H36)</f>
        <v>97064.39</v>
      </c>
      <c r="I14" s="233">
        <f>SUM(I15+I16+I17+I32+I36)</f>
        <v>219064.39</v>
      </c>
    </row>
    <row r="15" spans="1:9" ht="16.5" x14ac:dyDescent="0.3">
      <c r="A15" s="231">
        <v>61601</v>
      </c>
      <c r="B15" s="127"/>
      <c r="C15" s="224" t="s">
        <v>153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3"/>
    </row>
    <row r="16" spans="1:9" ht="16.5" x14ac:dyDescent="0.3">
      <c r="A16" s="231"/>
      <c r="B16" s="127"/>
      <c r="C16" s="568" t="s">
        <v>743</v>
      </c>
      <c r="D16" s="235">
        <v>10188.379999999999</v>
      </c>
      <c r="E16" s="235">
        <v>0</v>
      </c>
      <c r="F16" s="235">
        <v>0</v>
      </c>
      <c r="G16" s="235">
        <v>0</v>
      </c>
      <c r="H16" s="235">
        <v>0</v>
      </c>
      <c r="I16" s="233">
        <v>0</v>
      </c>
    </row>
    <row r="17" spans="1:9" ht="16.5" x14ac:dyDescent="0.3">
      <c r="A17" s="231">
        <v>61603</v>
      </c>
      <c r="B17" s="127"/>
      <c r="C17" s="224" t="s">
        <v>154</v>
      </c>
      <c r="D17" s="232">
        <f>SUM(D18:D31)</f>
        <v>0</v>
      </c>
      <c r="E17" s="232">
        <f>SUM(E18:E29)</f>
        <v>62000</v>
      </c>
      <c r="F17" s="232">
        <f>SUM(F18:F29)</f>
        <v>60000</v>
      </c>
      <c r="G17" s="232">
        <f>SUM(G18:G29)</f>
        <v>0</v>
      </c>
      <c r="H17" s="232">
        <f>SUM(H18:H29)</f>
        <v>97064.39</v>
      </c>
      <c r="I17" s="233">
        <f>SUM(I18:I31)</f>
        <v>219064.39</v>
      </c>
    </row>
    <row r="18" spans="1:9" ht="16.5" x14ac:dyDescent="0.3">
      <c r="A18" s="231" t="s">
        <v>605</v>
      </c>
      <c r="B18" s="127" t="s">
        <v>270</v>
      </c>
      <c r="C18" s="7" t="s">
        <v>727</v>
      </c>
      <c r="D18" s="28"/>
      <c r="E18" s="235">
        <v>10000</v>
      </c>
      <c r="F18" s="235">
        <v>0</v>
      </c>
      <c r="G18" s="235">
        <v>0</v>
      </c>
      <c r="H18" s="235">
        <v>0</v>
      </c>
      <c r="I18" s="236">
        <f t="shared" ref="I18:I36" si="0">SUM(D18:H18)</f>
        <v>10000</v>
      </c>
    </row>
    <row r="19" spans="1:9" ht="16.5" x14ac:dyDescent="0.3">
      <c r="A19" s="231"/>
      <c r="B19" s="127" t="s">
        <v>271</v>
      </c>
      <c r="C19" s="7" t="s">
        <v>728</v>
      </c>
      <c r="D19" s="28"/>
      <c r="E19" s="235">
        <v>7000</v>
      </c>
      <c r="F19" s="235">
        <v>0</v>
      </c>
      <c r="G19" s="235">
        <v>0</v>
      </c>
      <c r="H19" s="235"/>
      <c r="I19" s="236">
        <f t="shared" si="0"/>
        <v>7000</v>
      </c>
    </row>
    <row r="20" spans="1:9" ht="16.5" x14ac:dyDescent="0.3">
      <c r="A20" s="231"/>
      <c r="B20" s="127" t="s">
        <v>272</v>
      </c>
      <c r="C20" s="7" t="s">
        <v>729</v>
      </c>
      <c r="D20" s="28"/>
      <c r="E20" s="235">
        <v>15000</v>
      </c>
      <c r="F20" s="235">
        <v>0</v>
      </c>
      <c r="G20" s="235">
        <v>0</v>
      </c>
      <c r="H20" s="235">
        <v>0</v>
      </c>
      <c r="I20" s="236">
        <f t="shared" si="0"/>
        <v>15000</v>
      </c>
    </row>
    <row r="21" spans="1:9" ht="16.5" x14ac:dyDescent="0.3">
      <c r="A21" s="231"/>
      <c r="B21" s="127" t="s">
        <v>419</v>
      </c>
      <c r="C21" s="7" t="s">
        <v>693</v>
      </c>
      <c r="D21" s="28"/>
      <c r="E21" s="235">
        <v>0</v>
      </c>
      <c r="F21" s="235">
        <v>0</v>
      </c>
      <c r="G21" s="235">
        <v>0</v>
      </c>
      <c r="H21" s="235">
        <v>0</v>
      </c>
      <c r="I21" s="236">
        <f t="shared" si="0"/>
        <v>0</v>
      </c>
    </row>
    <row r="22" spans="1:9" ht="16.5" x14ac:dyDescent="0.3">
      <c r="A22" s="231"/>
      <c r="B22" s="127" t="s">
        <v>420</v>
      </c>
      <c r="C22" s="7" t="s">
        <v>730</v>
      </c>
      <c r="D22" s="28"/>
      <c r="E22" s="235"/>
      <c r="F22" s="235">
        <v>60000</v>
      </c>
      <c r="G22" s="235"/>
      <c r="H22" s="235">
        <v>0</v>
      </c>
      <c r="I22" s="236">
        <f t="shared" si="0"/>
        <v>60000</v>
      </c>
    </row>
    <row r="23" spans="1:9" ht="16.5" x14ac:dyDescent="0.3">
      <c r="A23" s="231"/>
      <c r="B23" s="127" t="s">
        <v>422</v>
      </c>
      <c r="C23" s="7" t="s">
        <v>739</v>
      </c>
      <c r="D23" s="28"/>
      <c r="E23" s="235">
        <v>0</v>
      </c>
      <c r="F23" s="235"/>
      <c r="G23" s="235"/>
      <c r="H23" s="235">
        <v>97064.39</v>
      </c>
      <c r="I23" s="236">
        <f t="shared" si="0"/>
        <v>97064.39</v>
      </c>
    </row>
    <row r="24" spans="1:9" ht="16.5" x14ac:dyDescent="0.3">
      <c r="A24" s="231"/>
      <c r="B24" s="127" t="s">
        <v>423</v>
      </c>
      <c r="C24" s="7" t="s">
        <v>695</v>
      </c>
      <c r="D24" s="28"/>
      <c r="E24" s="235"/>
      <c r="F24" s="235"/>
      <c r="G24" s="235"/>
      <c r="H24" s="235"/>
      <c r="I24" s="236">
        <f t="shared" si="0"/>
        <v>0</v>
      </c>
    </row>
    <row r="25" spans="1:9" ht="16.5" x14ac:dyDescent="0.3">
      <c r="A25" s="231" t="s">
        <v>605</v>
      </c>
      <c r="B25" s="127" t="s">
        <v>423</v>
      </c>
      <c r="C25" s="7" t="s">
        <v>731</v>
      </c>
      <c r="D25" s="28"/>
      <c r="E25" s="235">
        <v>30000</v>
      </c>
      <c r="F25" s="235"/>
      <c r="G25" s="235"/>
      <c r="H25" s="235"/>
      <c r="I25" s="236">
        <f t="shared" si="0"/>
        <v>30000</v>
      </c>
    </row>
    <row r="26" spans="1:9" ht="16.5" x14ac:dyDescent="0.3">
      <c r="A26" s="231"/>
      <c r="B26" s="127" t="s">
        <v>424</v>
      </c>
      <c r="C26" s="7"/>
      <c r="D26" s="28"/>
      <c r="E26" s="235">
        <v>0</v>
      </c>
      <c r="F26" s="235">
        <v>0</v>
      </c>
      <c r="G26" s="235">
        <v>0</v>
      </c>
      <c r="H26" s="235">
        <v>0</v>
      </c>
      <c r="I26" s="236">
        <f t="shared" si="0"/>
        <v>0</v>
      </c>
    </row>
    <row r="27" spans="1:9" ht="16.5" x14ac:dyDescent="0.3">
      <c r="A27" s="231"/>
      <c r="B27" s="127" t="s">
        <v>595</v>
      </c>
      <c r="C27" s="7"/>
      <c r="D27" s="28"/>
      <c r="E27" s="235"/>
      <c r="F27" s="235"/>
      <c r="G27" s="235"/>
      <c r="H27" s="235"/>
      <c r="I27" s="236">
        <f t="shared" si="0"/>
        <v>0</v>
      </c>
    </row>
    <row r="28" spans="1:9" ht="16.5" x14ac:dyDescent="0.3">
      <c r="A28" s="231"/>
      <c r="B28" s="127" t="s">
        <v>596</v>
      </c>
      <c r="C28" s="7"/>
      <c r="D28" s="28"/>
      <c r="E28" s="235"/>
      <c r="F28" s="235"/>
      <c r="G28" s="235"/>
      <c r="H28" s="235"/>
      <c r="I28" s="236">
        <f t="shared" si="0"/>
        <v>0</v>
      </c>
    </row>
    <row r="29" spans="1:9" ht="16.5" x14ac:dyDescent="0.3">
      <c r="A29" s="231"/>
      <c r="B29" s="127" t="s">
        <v>611</v>
      </c>
      <c r="C29" s="7"/>
      <c r="D29" s="235"/>
      <c r="E29" s="232"/>
      <c r="F29" s="232"/>
      <c r="G29" s="235"/>
      <c r="H29" s="232"/>
      <c r="I29" s="236">
        <f t="shared" si="0"/>
        <v>0</v>
      </c>
    </row>
    <row r="30" spans="1:9" ht="16.5" x14ac:dyDescent="0.3">
      <c r="A30" s="231"/>
      <c r="B30" s="127" t="s">
        <v>612</v>
      </c>
      <c r="C30" s="218"/>
      <c r="D30" s="235"/>
      <c r="E30" s="232"/>
      <c r="F30" s="232"/>
      <c r="G30" s="232"/>
      <c r="H30" s="232"/>
      <c r="I30" s="236">
        <f t="shared" si="0"/>
        <v>0</v>
      </c>
    </row>
    <row r="31" spans="1:9" ht="16.5" x14ac:dyDescent="0.3">
      <c r="A31" s="231"/>
      <c r="B31" s="127" t="s">
        <v>634</v>
      </c>
      <c r="C31" s="218"/>
      <c r="D31" s="235"/>
      <c r="E31" s="515"/>
      <c r="F31" s="232"/>
      <c r="G31" s="232"/>
      <c r="H31" s="232"/>
      <c r="I31" s="236"/>
    </row>
    <row r="32" spans="1:9" ht="16.5" x14ac:dyDescent="0.3">
      <c r="A32" s="231">
        <v>61699</v>
      </c>
      <c r="B32" s="127"/>
      <c r="C32" s="224" t="s">
        <v>621</v>
      </c>
      <c r="D32" s="232">
        <f>D33</f>
        <v>0</v>
      </c>
      <c r="E32" s="232">
        <f>SUM(E33:E36)</f>
        <v>0</v>
      </c>
      <c r="F32" s="232">
        <f t="shared" ref="F32:G32" si="1">SUM(F33:F36)</f>
        <v>0</v>
      </c>
      <c r="G32" s="232">
        <f t="shared" si="1"/>
        <v>0</v>
      </c>
      <c r="H32" s="232"/>
      <c r="I32" s="233">
        <f t="shared" si="0"/>
        <v>0</v>
      </c>
    </row>
    <row r="33" spans="1:9" ht="16.5" x14ac:dyDescent="0.3">
      <c r="A33" s="231"/>
      <c r="B33" s="127" t="s">
        <v>622</v>
      </c>
      <c r="C33" s="218" t="s">
        <v>641</v>
      </c>
      <c r="D33" s="235"/>
      <c r="E33" s="235"/>
      <c r="F33" s="235">
        <v>0</v>
      </c>
      <c r="G33" s="235"/>
      <c r="H33" s="235"/>
      <c r="I33" s="236">
        <f t="shared" si="0"/>
        <v>0</v>
      </c>
    </row>
    <row r="34" spans="1:9" ht="16.5" x14ac:dyDescent="0.3">
      <c r="A34" s="231"/>
      <c r="B34" s="127"/>
      <c r="C34" s="218" t="s">
        <v>642</v>
      </c>
      <c r="D34" s="235"/>
      <c r="E34" s="235"/>
      <c r="F34" s="235"/>
      <c r="G34" s="235"/>
      <c r="H34" s="235"/>
      <c r="I34" s="236">
        <f t="shared" si="0"/>
        <v>0</v>
      </c>
    </row>
    <row r="35" spans="1:9" ht="16.5" x14ac:dyDescent="0.3">
      <c r="A35" s="231"/>
      <c r="B35" s="127"/>
      <c r="C35" s="218" t="s">
        <v>643</v>
      </c>
      <c r="D35" s="235"/>
      <c r="E35" s="235"/>
      <c r="F35" s="235"/>
      <c r="G35" s="235"/>
      <c r="H35" s="235"/>
      <c r="I35" s="236">
        <f t="shared" si="0"/>
        <v>0</v>
      </c>
    </row>
    <row r="36" spans="1:9" ht="16.5" x14ac:dyDescent="0.3">
      <c r="A36" s="231"/>
      <c r="B36" s="127"/>
      <c r="C36" s="223" t="s">
        <v>644</v>
      </c>
      <c r="D36" s="235">
        <v>0</v>
      </c>
      <c r="E36" s="235"/>
      <c r="F36" s="235">
        <v>0</v>
      </c>
      <c r="G36" s="235"/>
      <c r="H36" s="235">
        <v>0</v>
      </c>
      <c r="I36" s="236">
        <f t="shared" si="0"/>
        <v>0</v>
      </c>
    </row>
    <row r="37" spans="1:9" ht="17.25" thickBot="1" x14ac:dyDescent="0.35">
      <c r="A37" s="242"/>
      <c r="B37" s="243"/>
      <c r="C37" s="244" t="s">
        <v>67</v>
      </c>
      <c r="D37" s="328">
        <f>+D10+D14+D32</f>
        <v>10188.379999999999</v>
      </c>
      <c r="E37" s="328">
        <f>+E10+E14</f>
        <v>62000</v>
      </c>
      <c r="F37" s="328">
        <f>+F10+F14</f>
        <v>60000</v>
      </c>
      <c r="G37" s="328">
        <f>+G10+G14</f>
        <v>0</v>
      </c>
      <c r="H37" s="328">
        <f>+H10+H14</f>
        <v>97064.39</v>
      </c>
      <c r="I37" s="329">
        <f>+I10+I14</f>
        <v>219064.39</v>
      </c>
    </row>
    <row r="38" spans="1:9" ht="16.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6.5" x14ac:dyDescent="0.3">
      <c r="A40" s="1"/>
      <c r="B40" s="1"/>
      <c r="C40" s="1"/>
      <c r="D40" s="1"/>
      <c r="E40" s="1"/>
      <c r="F40" s="1"/>
      <c r="G40" s="1"/>
      <c r="H40" s="1"/>
      <c r="I40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1" type="noConversion"/>
  <pageMargins left="1.32" right="0.70866141732283472" top="0.74803149606299213" bottom="0.74803149606299213" header="0.31496062992125984" footer="0.31496062992125984"/>
  <pageSetup scale="83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zoomScale="120" zoomScaleNormal="120" workbookViewId="0">
      <pane ySplit="9" topLeftCell="A79" activePane="bottomLeft" state="frozen"/>
      <selection pane="bottomLeft" activeCell="G71" sqref="G71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2" bestFit="1" customWidth="1"/>
    <col min="6" max="6" width="11.42578125" customWidth="1"/>
    <col min="7" max="7" width="12.7109375" customWidth="1"/>
    <col min="8" max="8" width="11.42578125" bestFit="1" customWidth="1"/>
    <col min="9" max="9" width="14.140625" customWidth="1"/>
    <col min="10" max="10" width="11.85546875" customWidth="1"/>
  </cols>
  <sheetData>
    <row r="1" spans="1:9" ht="16.5" x14ac:dyDescent="0.3">
      <c r="A1" s="571" t="s">
        <v>275</v>
      </c>
      <c r="B1" s="571"/>
      <c r="C1" s="571"/>
      <c r="D1" s="571"/>
      <c r="E1" s="571"/>
      <c r="F1" s="571"/>
      <c r="G1" s="571"/>
      <c r="H1" s="571"/>
      <c r="I1" s="571"/>
    </row>
    <row r="2" spans="1:9" ht="16.5" x14ac:dyDescent="0.3">
      <c r="A2" s="593" t="s">
        <v>253</v>
      </c>
      <c r="B2" s="593"/>
      <c r="C2" s="593"/>
      <c r="D2" s="593"/>
      <c r="E2" s="593"/>
      <c r="F2" s="593"/>
      <c r="G2" s="593"/>
      <c r="H2" s="593"/>
      <c r="I2" s="593"/>
    </row>
    <row r="3" spans="1:9" ht="16.5" x14ac:dyDescent="0.3">
      <c r="A3" s="88" t="s">
        <v>276</v>
      </c>
      <c r="B3" s="88"/>
      <c r="C3" s="88" t="s">
        <v>277</v>
      </c>
      <c r="D3" s="88"/>
      <c r="E3" s="88"/>
      <c r="F3" s="88"/>
      <c r="G3" s="88"/>
      <c r="H3" s="88"/>
      <c r="I3" s="88"/>
    </row>
    <row r="4" spans="1:9" ht="16.5" x14ac:dyDescent="0.3">
      <c r="A4" s="88" t="s">
        <v>703</v>
      </c>
      <c r="B4" s="88"/>
      <c r="C4" s="1"/>
      <c r="D4" s="227" t="s">
        <v>8</v>
      </c>
      <c r="E4" s="228"/>
      <c r="F4" s="228"/>
      <c r="G4" s="228"/>
      <c r="H4" s="228"/>
      <c r="I4" s="228"/>
    </row>
    <row r="5" spans="1:9" ht="16.5" x14ac:dyDescent="0.3">
      <c r="A5" s="88" t="s">
        <v>278</v>
      </c>
      <c r="B5" s="88"/>
      <c r="C5" s="228"/>
      <c r="D5" s="228"/>
      <c r="E5" s="228"/>
      <c r="F5" s="228"/>
      <c r="G5" s="228"/>
      <c r="H5" s="228"/>
      <c r="I5" s="228"/>
    </row>
    <row r="6" spans="1:9" ht="16.5" x14ac:dyDescent="0.3">
      <c r="A6" s="88" t="s">
        <v>279</v>
      </c>
      <c r="B6" s="88"/>
      <c r="C6" s="228"/>
      <c r="D6" s="228"/>
      <c r="E6" s="228"/>
      <c r="F6" s="228"/>
      <c r="G6" s="228"/>
      <c r="H6" s="228"/>
      <c r="I6" s="228"/>
    </row>
    <row r="7" spans="1:9" ht="17.25" thickBot="1" x14ac:dyDescent="0.35">
      <c r="A7" s="88" t="s">
        <v>280</v>
      </c>
      <c r="B7" s="88"/>
      <c r="C7" s="228"/>
      <c r="D7" s="228"/>
      <c r="E7" s="228"/>
      <c r="F7" s="228"/>
      <c r="G7" s="228"/>
      <c r="H7" s="228"/>
      <c r="I7" s="228"/>
    </row>
    <row r="8" spans="1:9" ht="15.75" customHeight="1" thickBot="1" x14ac:dyDescent="0.3">
      <c r="A8" s="594" t="s">
        <v>254</v>
      </c>
      <c r="B8" s="594" t="s">
        <v>255</v>
      </c>
      <c r="C8" s="596" t="s">
        <v>256</v>
      </c>
      <c r="D8" s="598" t="s">
        <v>257</v>
      </c>
      <c r="E8" s="599"/>
      <c r="F8" s="599"/>
      <c r="G8" s="599"/>
      <c r="H8" s="600"/>
      <c r="I8" s="601" t="s">
        <v>258</v>
      </c>
    </row>
    <row r="9" spans="1:9" ht="50.25" thickBot="1" x14ac:dyDescent="0.35">
      <c r="A9" s="595"/>
      <c r="B9" s="595"/>
      <c r="C9" s="597"/>
      <c r="D9" s="229" t="s">
        <v>259</v>
      </c>
      <c r="E9" s="510" t="s">
        <v>683</v>
      </c>
      <c r="F9" s="510" t="s">
        <v>688</v>
      </c>
      <c r="G9" s="510" t="s">
        <v>738</v>
      </c>
      <c r="H9" s="517" t="s">
        <v>697</v>
      </c>
      <c r="I9" s="597"/>
    </row>
    <row r="10" spans="1:9" ht="16.5" x14ac:dyDescent="0.3">
      <c r="A10" s="245">
        <v>615</v>
      </c>
      <c r="B10" s="246"/>
      <c r="C10" s="247" t="s">
        <v>150</v>
      </c>
      <c r="D10" s="248">
        <f>SUM(D11:D13)</f>
        <v>0</v>
      </c>
      <c r="E10" s="248">
        <f>SUM(E11:E13)</f>
        <v>0</v>
      </c>
      <c r="F10" s="248">
        <f>SUM(F11:F13)</f>
        <v>0</v>
      </c>
      <c r="G10" s="248">
        <f>SUM(G11:G13)</f>
        <v>0</v>
      </c>
      <c r="H10" s="248">
        <f>SUM(H11:H13)</f>
        <v>0</v>
      </c>
      <c r="I10" s="249">
        <f>SUM(D10:H10)</f>
        <v>0</v>
      </c>
    </row>
    <row r="11" spans="1:9" ht="16.5" x14ac:dyDescent="0.3">
      <c r="A11" s="234">
        <v>61501</v>
      </c>
      <c r="B11" s="222"/>
      <c r="C11" s="224" t="s">
        <v>263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6">
        <f>SUM(D11:H11)</f>
        <v>0</v>
      </c>
    </row>
    <row r="12" spans="1:9" ht="16.5" x14ac:dyDescent="0.3">
      <c r="A12" s="234">
        <v>61502</v>
      </c>
      <c r="B12" s="222"/>
      <c r="C12" s="224" t="s">
        <v>264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6">
        <f>SUM(D12:H12)</f>
        <v>0</v>
      </c>
    </row>
    <row r="13" spans="1:9" ht="16.5" x14ac:dyDescent="0.3">
      <c r="A13" s="234">
        <v>61599</v>
      </c>
      <c r="B13" s="222"/>
      <c r="C13" s="224" t="s">
        <v>265</v>
      </c>
      <c r="D13" s="235"/>
      <c r="E13" s="235">
        <v>0</v>
      </c>
      <c r="F13" s="235">
        <v>0</v>
      </c>
      <c r="G13" s="235"/>
      <c r="H13" s="235">
        <v>0</v>
      </c>
      <c r="I13" s="236">
        <f>SUM(D13:H13)</f>
        <v>0</v>
      </c>
    </row>
    <row r="14" spans="1:9" ht="16.5" x14ac:dyDescent="0.3">
      <c r="A14" s="130"/>
      <c r="B14" s="127"/>
      <c r="C14" s="218"/>
      <c r="D14" s="235"/>
      <c r="E14" s="235"/>
      <c r="F14" s="235"/>
      <c r="G14" s="235"/>
      <c r="H14" s="235"/>
      <c r="I14" s="236"/>
    </row>
    <row r="15" spans="1:9" ht="16.5" x14ac:dyDescent="0.3">
      <c r="A15" s="231">
        <v>616</v>
      </c>
      <c r="B15" s="215"/>
      <c r="C15" s="224" t="s">
        <v>152</v>
      </c>
      <c r="D15" s="232">
        <f>+D16+D44+D47+D52+D56+D59+D69</f>
        <v>0</v>
      </c>
      <c r="E15" s="232">
        <f>+E16+E56+E59+E71</f>
        <v>7000</v>
      </c>
      <c r="F15" s="232">
        <f>+F16+F52+F59+F69</f>
        <v>0</v>
      </c>
      <c r="G15" s="232">
        <f>+G16+G44+G47+G52+G56+G59+G69</f>
        <v>161413</v>
      </c>
      <c r="H15" s="232">
        <f>+H16+H44+H47+H56+H59+H69</f>
        <v>0</v>
      </c>
      <c r="I15" s="232">
        <f>+I16+I44+I47+I52+I56+I59+I69</f>
        <v>264413</v>
      </c>
    </row>
    <row r="16" spans="1:9" ht="16.5" x14ac:dyDescent="0.3">
      <c r="A16" s="231">
        <v>61601</v>
      </c>
      <c r="B16" s="127"/>
      <c r="C16" s="224" t="s">
        <v>153</v>
      </c>
      <c r="D16" s="232">
        <f t="shared" ref="D16:I16" si="0">SUM(D17:D43)</f>
        <v>0</v>
      </c>
      <c r="E16" s="232">
        <f t="shared" si="0"/>
        <v>0</v>
      </c>
      <c r="F16" s="232">
        <f t="shared" si="0"/>
        <v>0</v>
      </c>
      <c r="G16" s="232">
        <f t="shared" si="0"/>
        <v>0</v>
      </c>
      <c r="H16" s="232">
        <f t="shared" si="0"/>
        <v>0</v>
      </c>
      <c r="I16" s="233">
        <f t="shared" si="0"/>
        <v>0</v>
      </c>
    </row>
    <row r="17" spans="1:9" ht="16.5" x14ac:dyDescent="0.3">
      <c r="A17" s="231"/>
      <c r="B17" s="127" t="s">
        <v>266</v>
      </c>
      <c r="C17" s="223" t="s">
        <v>645</v>
      </c>
      <c r="D17" s="28"/>
      <c r="E17" s="235">
        <v>0</v>
      </c>
      <c r="F17" s="235">
        <v>0</v>
      </c>
      <c r="G17" s="235"/>
      <c r="H17" s="235">
        <v>0</v>
      </c>
      <c r="I17" s="236">
        <f t="shared" ref="I17:I53" si="1">SUM(D17:H17)</f>
        <v>0</v>
      </c>
    </row>
    <row r="18" spans="1:9" ht="16.5" x14ac:dyDescent="0.3">
      <c r="A18" s="231"/>
      <c r="B18" s="127" t="s">
        <v>267</v>
      </c>
      <c r="C18" s="7" t="s">
        <v>687</v>
      </c>
      <c r="D18" s="28"/>
      <c r="E18" s="235">
        <v>0</v>
      </c>
      <c r="F18" s="235">
        <v>0</v>
      </c>
      <c r="G18" s="235">
        <v>0</v>
      </c>
      <c r="H18" s="235">
        <v>0</v>
      </c>
      <c r="I18" s="236">
        <f t="shared" si="1"/>
        <v>0</v>
      </c>
    </row>
    <row r="19" spans="1:9" ht="16.5" x14ac:dyDescent="0.3">
      <c r="A19" s="231"/>
      <c r="B19" s="127" t="s">
        <v>268</v>
      </c>
      <c r="C19" s="509"/>
      <c r="D19" s="107"/>
      <c r="E19" s="235">
        <v>0</v>
      </c>
      <c r="F19" s="235"/>
      <c r="G19" s="235"/>
      <c r="H19" s="235"/>
      <c r="I19" s="236">
        <f t="shared" si="1"/>
        <v>0</v>
      </c>
    </row>
    <row r="20" spans="1:9" ht="16.5" x14ac:dyDescent="0.3">
      <c r="A20" s="231"/>
      <c r="B20" s="222" t="s">
        <v>269</v>
      </c>
      <c r="C20" s="509"/>
      <c r="D20" s="28"/>
      <c r="E20" s="235">
        <v>0</v>
      </c>
      <c r="F20" s="235"/>
      <c r="G20" s="235"/>
      <c r="H20" s="235"/>
      <c r="I20" s="236">
        <f t="shared" si="1"/>
        <v>0</v>
      </c>
    </row>
    <row r="21" spans="1:9" ht="16.5" x14ac:dyDescent="0.3">
      <c r="A21" s="231"/>
      <c r="B21" s="222" t="s">
        <v>281</v>
      </c>
      <c r="C21" s="509"/>
      <c r="D21" s="28"/>
      <c r="E21" s="235">
        <v>0</v>
      </c>
      <c r="F21" s="235"/>
      <c r="G21" s="235"/>
      <c r="H21" s="235"/>
      <c r="I21" s="236">
        <f t="shared" si="1"/>
        <v>0</v>
      </c>
    </row>
    <row r="22" spans="1:9" ht="16.5" x14ac:dyDescent="0.3">
      <c r="A22" s="231"/>
      <c r="B22" s="222" t="s">
        <v>282</v>
      </c>
      <c r="C22" s="509"/>
      <c r="D22" s="28"/>
      <c r="E22" s="235"/>
      <c r="F22" s="235"/>
      <c r="G22" s="235"/>
      <c r="H22" s="235"/>
      <c r="I22" s="236">
        <f t="shared" si="1"/>
        <v>0</v>
      </c>
    </row>
    <row r="23" spans="1:9" ht="16.5" x14ac:dyDescent="0.3">
      <c r="A23" s="231"/>
      <c r="B23" s="222" t="s">
        <v>583</v>
      </c>
      <c r="C23" s="7"/>
      <c r="D23" s="28"/>
      <c r="E23" s="235"/>
      <c r="F23" s="235"/>
      <c r="G23" s="235"/>
      <c r="H23" s="235"/>
      <c r="I23" s="236">
        <f t="shared" si="1"/>
        <v>0</v>
      </c>
    </row>
    <row r="24" spans="1:9" ht="16.5" x14ac:dyDescent="0.3">
      <c r="A24" s="231"/>
      <c r="B24" s="222" t="s">
        <v>584</v>
      </c>
      <c r="C24" s="7"/>
      <c r="D24" s="28"/>
      <c r="E24" s="235"/>
      <c r="F24" s="235"/>
      <c r="G24" s="235"/>
      <c r="H24" s="235"/>
      <c r="I24" s="236">
        <f t="shared" si="1"/>
        <v>0</v>
      </c>
    </row>
    <row r="25" spans="1:9" ht="16.5" x14ac:dyDescent="0.3">
      <c r="A25" s="231"/>
      <c r="B25" s="222" t="s">
        <v>586</v>
      </c>
      <c r="C25" s="509"/>
      <c r="D25" s="28"/>
      <c r="E25" s="235"/>
      <c r="F25" s="235"/>
      <c r="G25" s="235"/>
      <c r="H25" s="235"/>
      <c r="I25" s="236">
        <f t="shared" si="1"/>
        <v>0</v>
      </c>
    </row>
    <row r="26" spans="1:9" ht="16.5" x14ac:dyDescent="0.3">
      <c r="A26" s="231"/>
      <c r="B26" s="222" t="s">
        <v>684</v>
      </c>
      <c r="C26" s="509"/>
      <c r="D26" s="28"/>
      <c r="E26" s="235"/>
      <c r="F26" s="235"/>
      <c r="G26" s="235"/>
      <c r="H26" s="235"/>
      <c r="I26" s="236">
        <f t="shared" si="1"/>
        <v>0</v>
      </c>
    </row>
    <row r="27" spans="1:9" ht="16.5" x14ac:dyDescent="0.3">
      <c r="A27" s="231"/>
      <c r="B27" s="222" t="s">
        <v>623</v>
      </c>
      <c r="C27" s="7"/>
      <c r="D27" s="28"/>
      <c r="E27" s="235"/>
      <c r="F27" s="235"/>
      <c r="G27" s="235"/>
      <c r="H27" s="235"/>
      <c r="I27" s="236">
        <f t="shared" si="1"/>
        <v>0</v>
      </c>
    </row>
    <row r="28" spans="1:9" ht="16.5" x14ac:dyDescent="0.3">
      <c r="A28" s="231"/>
      <c r="B28" s="222" t="s">
        <v>624</v>
      </c>
      <c r="C28" s="7"/>
      <c r="D28" s="28"/>
      <c r="E28" s="235"/>
      <c r="F28" s="235"/>
      <c r="G28" s="235"/>
      <c r="H28" s="235"/>
      <c r="I28" s="236">
        <f t="shared" si="1"/>
        <v>0</v>
      </c>
    </row>
    <row r="29" spans="1:9" ht="16.5" x14ac:dyDescent="0.3">
      <c r="A29" s="231"/>
      <c r="B29" s="222" t="s">
        <v>625</v>
      </c>
      <c r="C29" s="223"/>
      <c r="D29" s="28"/>
      <c r="E29" s="235"/>
      <c r="F29" s="235"/>
      <c r="G29" s="235"/>
      <c r="H29" s="235"/>
      <c r="I29" s="236">
        <f t="shared" si="1"/>
        <v>0</v>
      </c>
    </row>
    <row r="30" spans="1:9" ht="16.5" x14ac:dyDescent="0.3">
      <c r="A30" s="231"/>
      <c r="B30" s="222" t="s">
        <v>626</v>
      </c>
      <c r="C30" s="223"/>
      <c r="D30" s="28"/>
      <c r="E30" s="235"/>
      <c r="F30" s="235"/>
      <c r="G30" s="235"/>
      <c r="H30" s="235"/>
      <c r="I30" s="236">
        <f t="shared" si="1"/>
        <v>0</v>
      </c>
    </row>
    <row r="31" spans="1:9" ht="16.5" x14ac:dyDescent="0.3">
      <c r="A31" s="231"/>
      <c r="B31" s="222" t="s">
        <v>627</v>
      </c>
      <c r="C31" s="7"/>
      <c r="D31" s="28"/>
      <c r="E31" s="235"/>
      <c r="F31" s="235"/>
      <c r="G31" s="235"/>
      <c r="H31" s="235"/>
      <c r="I31" s="236">
        <f t="shared" si="1"/>
        <v>0</v>
      </c>
    </row>
    <row r="32" spans="1:9" ht="16.5" x14ac:dyDescent="0.3">
      <c r="A32" s="231"/>
      <c r="B32" s="222" t="s">
        <v>628</v>
      </c>
      <c r="C32" s="223"/>
      <c r="D32" s="28"/>
      <c r="E32" s="235"/>
      <c r="F32" s="235"/>
      <c r="G32" s="235"/>
      <c r="H32" s="235"/>
      <c r="I32" s="236">
        <f t="shared" si="1"/>
        <v>0</v>
      </c>
    </row>
    <row r="33" spans="1:9" ht="16.5" x14ac:dyDescent="0.3">
      <c r="A33" s="231"/>
      <c r="B33" s="222" t="s">
        <v>629</v>
      </c>
      <c r="C33" s="7"/>
      <c r="D33" s="28"/>
      <c r="E33" s="235"/>
      <c r="F33" s="235"/>
      <c r="G33" s="235"/>
      <c r="H33" s="235"/>
      <c r="I33" s="236">
        <f t="shared" si="1"/>
        <v>0</v>
      </c>
    </row>
    <row r="34" spans="1:9" ht="16.5" x14ac:dyDescent="0.3">
      <c r="A34" s="231"/>
      <c r="B34" s="222" t="s">
        <v>630</v>
      </c>
      <c r="C34" s="223"/>
      <c r="D34" s="28"/>
      <c r="E34" s="235"/>
      <c r="F34" s="235"/>
      <c r="G34" s="511"/>
      <c r="H34" s="235"/>
      <c r="I34" s="236">
        <f t="shared" si="1"/>
        <v>0</v>
      </c>
    </row>
    <row r="35" spans="1:9" ht="16.5" x14ac:dyDescent="0.3">
      <c r="A35" s="231"/>
      <c r="B35" s="222" t="s">
        <v>631</v>
      </c>
      <c r="C35" s="7"/>
      <c r="D35" s="28"/>
      <c r="E35" s="235"/>
      <c r="F35" s="235"/>
      <c r="G35" s="235"/>
      <c r="H35" s="235"/>
      <c r="I35" s="236">
        <f t="shared" si="1"/>
        <v>0</v>
      </c>
    </row>
    <row r="36" spans="1:9" ht="16.5" x14ac:dyDescent="0.3">
      <c r="A36" s="231"/>
      <c r="B36" s="222" t="s">
        <v>632</v>
      </c>
      <c r="C36" s="223"/>
      <c r="D36" s="28"/>
      <c r="E36" s="235"/>
      <c r="F36" s="235"/>
      <c r="G36" s="511"/>
      <c r="H36" s="235"/>
      <c r="I36" s="236">
        <f t="shared" si="1"/>
        <v>0</v>
      </c>
    </row>
    <row r="37" spans="1:9" ht="16.5" x14ac:dyDescent="0.3">
      <c r="A37" s="231"/>
      <c r="B37" s="222" t="s">
        <v>633</v>
      </c>
      <c r="C37" s="223"/>
      <c r="D37" s="28"/>
      <c r="E37" s="235"/>
      <c r="F37" s="235"/>
      <c r="G37" s="235"/>
      <c r="H37" s="235"/>
      <c r="I37" s="236">
        <f t="shared" si="1"/>
        <v>0</v>
      </c>
    </row>
    <row r="38" spans="1:9" ht="16.5" x14ac:dyDescent="0.3">
      <c r="A38" s="231"/>
      <c r="B38" s="222" t="s">
        <v>636</v>
      </c>
      <c r="C38" s="223"/>
      <c r="D38" s="235"/>
      <c r="E38" s="235"/>
      <c r="F38" s="235"/>
      <c r="G38" s="511"/>
      <c r="H38" s="235"/>
      <c r="I38" s="236">
        <f t="shared" si="1"/>
        <v>0</v>
      </c>
    </row>
    <row r="39" spans="1:9" ht="16.5" x14ac:dyDescent="0.3">
      <c r="A39" s="231"/>
      <c r="B39" s="222" t="s">
        <v>685</v>
      </c>
      <c r="C39" s="223"/>
      <c r="D39" s="235"/>
      <c r="E39" s="235"/>
      <c r="F39" s="235"/>
      <c r="G39" s="235"/>
      <c r="H39" s="235"/>
      <c r="I39" s="236">
        <f t="shared" si="1"/>
        <v>0</v>
      </c>
    </row>
    <row r="40" spans="1:9" ht="16.5" x14ac:dyDescent="0.3">
      <c r="A40" s="231"/>
      <c r="B40" s="222" t="s">
        <v>686</v>
      </c>
      <c r="C40" s="7"/>
      <c r="D40" s="235"/>
      <c r="E40" s="235"/>
      <c r="F40" s="235"/>
      <c r="G40" s="235"/>
      <c r="H40" s="235"/>
      <c r="I40" s="236">
        <f t="shared" si="1"/>
        <v>0</v>
      </c>
    </row>
    <row r="41" spans="1:9" ht="16.5" x14ac:dyDescent="0.3">
      <c r="A41" s="231"/>
      <c r="B41" s="222"/>
      <c r="C41" s="223"/>
      <c r="D41" s="235"/>
      <c r="E41" s="235"/>
      <c r="F41" s="235"/>
      <c r="G41" s="235"/>
      <c r="H41" s="235"/>
      <c r="I41" s="236">
        <f t="shared" si="1"/>
        <v>0</v>
      </c>
    </row>
    <row r="42" spans="1:9" ht="16.5" x14ac:dyDescent="0.3">
      <c r="A42" s="231"/>
      <c r="B42" s="222"/>
      <c r="C42" s="223"/>
      <c r="D42" s="235"/>
      <c r="E42" s="235"/>
      <c r="F42" s="235"/>
      <c r="G42" s="235"/>
      <c r="H42" s="235"/>
      <c r="I42" s="236">
        <f t="shared" si="1"/>
        <v>0</v>
      </c>
    </row>
    <row r="43" spans="1:9" ht="16.5" x14ac:dyDescent="0.3">
      <c r="A43" s="231"/>
      <c r="B43" s="222"/>
      <c r="C43" s="7"/>
      <c r="D43" s="235"/>
      <c r="E43" s="235"/>
      <c r="F43" s="235"/>
      <c r="G43" s="472"/>
      <c r="H43" s="235"/>
      <c r="I43" s="236">
        <f t="shared" si="1"/>
        <v>0</v>
      </c>
    </row>
    <row r="44" spans="1:9" ht="16.5" x14ac:dyDescent="0.3">
      <c r="A44" s="231">
        <v>61602</v>
      </c>
      <c r="B44" s="222"/>
      <c r="C44" s="5" t="s">
        <v>604</v>
      </c>
      <c r="D44" s="232">
        <f>D45+D46</f>
        <v>0</v>
      </c>
      <c r="E44" s="232">
        <f>E45</f>
        <v>0</v>
      </c>
      <c r="F44" s="232">
        <f>F45</f>
        <v>0</v>
      </c>
      <c r="G44" s="232">
        <f>G45</f>
        <v>0</v>
      </c>
      <c r="H44" s="232">
        <f>H45</f>
        <v>0</v>
      </c>
      <c r="I44" s="233">
        <f t="shared" si="1"/>
        <v>0</v>
      </c>
    </row>
    <row r="45" spans="1:9" ht="16.5" x14ac:dyDescent="0.3">
      <c r="A45" s="231"/>
      <c r="B45" s="222" t="s">
        <v>603</v>
      </c>
      <c r="C45" s="7"/>
      <c r="D45" s="235"/>
      <c r="E45" s="235"/>
      <c r="F45" s="235"/>
      <c r="G45" s="235"/>
      <c r="H45" s="235"/>
      <c r="I45" s="236">
        <f t="shared" si="1"/>
        <v>0</v>
      </c>
    </row>
    <row r="46" spans="1:9" ht="16.5" x14ac:dyDescent="0.3">
      <c r="A46" s="231"/>
      <c r="B46" s="222"/>
      <c r="C46" s="7"/>
      <c r="D46" s="235"/>
      <c r="E46" s="235"/>
      <c r="F46" s="235"/>
      <c r="G46" s="235"/>
      <c r="H46" s="235"/>
      <c r="I46" s="236">
        <f t="shared" si="1"/>
        <v>0</v>
      </c>
    </row>
    <row r="47" spans="1:9" ht="16.5" x14ac:dyDescent="0.3">
      <c r="A47" s="231">
        <v>61603</v>
      </c>
      <c r="B47" s="222"/>
      <c r="C47" s="5" t="s">
        <v>614</v>
      </c>
      <c r="D47" s="232">
        <f>D48+D49+D50</f>
        <v>0</v>
      </c>
      <c r="E47" s="232">
        <f>E49</f>
        <v>0</v>
      </c>
      <c r="F47" s="232">
        <f>F49</f>
        <v>0</v>
      </c>
      <c r="G47" s="232">
        <f>G49+G51</f>
        <v>0</v>
      </c>
      <c r="H47" s="232">
        <f>H49+H53</f>
        <v>0</v>
      </c>
      <c r="I47" s="233">
        <f t="shared" si="1"/>
        <v>0</v>
      </c>
    </row>
    <row r="48" spans="1:9" ht="16.5" x14ac:dyDescent="0.3">
      <c r="A48" s="231"/>
      <c r="B48" s="222"/>
      <c r="C48" s="7"/>
      <c r="D48" s="235"/>
      <c r="E48" s="232"/>
      <c r="F48" s="232"/>
      <c r="G48" s="232"/>
      <c r="H48" s="232"/>
      <c r="I48" s="236">
        <f t="shared" si="1"/>
        <v>0</v>
      </c>
    </row>
    <row r="49" spans="1:9" ht="16.5" x14ac:dyDescent="0.3">
      <c r="A49" s="231"/>
      <c r="B49" s="222" t="s">
        <v>603</v>
      </c>
      <c r="C49" s="7"/>
      <c r="D49" s="235"/>
      <c r="E49" s="235"/>
      <c r="F49" s="235"/>
      <c r="G49" s="232"/>
      <c r="H49" s="235"/>
      <c r="I49" s="236">
        <f t="shared" si="1"/>
        <v>0</v>
      </c>
    </row>
    <row r="50" spans="1:9" ht="16.5" x14ac:dyDescent="0.3">
      <c r="A50" s="231"/>
      <c r="B50" s="222"/>
      <c r="C50" s="7"/>
      <c r="D50" s="235"/>
      <c r="E50" s="235"/>
      <c r="F50" s="235"/>
      <c r="G50" s="232"/>
      <c r="H50" s="235"/>
      <c r="I50" s="236">
        <f t="shared" si="1"/>
        <v>0</v>
      </c>
    </row>
    <row r="51" spans="1:9" ht="16.5" x14ac:dyDescent="0.3">
      <c r="A51" s="231"/>
      <c r="B51" s="222"/>
      <c r="C51" s="7"/>
      <c r="D51" s="235"/>
      <c r="E51" s="235"/>
      <c r="F51" s="235"/>
      <c r="G51" s="235"/>
      <c r="H51" s="235"/>
      <c r="I51" s="236">
        <f t="shared" si="1"/>
        <v>0</v>
      </c>
    </row>
    <row r="52" spans="1:9" ht="16.5" x14ac:dyDescent="0.3">
      <c r="A52" s="231">
        <v>61604</v>
      </c>
      <c r="B52" s="222"/>
      <c r="C52" s="5" t="s">
        <v>155</v>
      </c>
      <c r="D52" s="232">
        <f>D53+D55</f>
        <v>0</v>
      </c>
      <c r="E52" s="232">
        <f>E53+E54</f>
        <v>0</v>
      </c>
      <c r="F52" s="232">
        <f>F53+F54+F55</f>
        <v>0</v>
      </c>
      <c r="G52" s="232">
        <f>G53+G55</f>
        <v>0</v>
      </c>
      <c r="H52" s="232">
        <f>H53+H55</f>
        <v>0</v>
      </c>
      <c r="I52" s="233">
        <f t="shared" si="1"/>
        <v>0</v>
      </c>
    </row>
    <row r="53" spans="1:9" ht="16.5" x14ac:dyDescent="0.3">
      <c r="A53" s="231"/>
      <c r="B53" s="222" t="s">
        <v>615</v>
      </c>
      <c r="C53" s="7" t="s">
        <v>689</v>
      </c>
      <c r="D53" s="235"/>
      <c r="E53" s="235"/>
      <c r="F53" s="235"/>
      <c r="G53" s="235"/>
      <c r="H53" s="232"/>
      <c r="I53" s="236">
        <f t="shared" si="1"/>
        <v>0</v>
      </c>
    </row>
    <row r="54" spans="1:9" ht="16.5" x14ac:dyDescent="0.3">
      <c r="A54" s="231"/>
      <c r="B54" s="222"/>
      <c r="C54" s="7" t="s">
        <v>690</v>
      </c>
      <c r="D54" s="235"/>
      <c r="E54" s="235"/>
      <c r="F54" s="235"/>
      <c r="G54" s="235"/>
      <c r="H54" s="232"/>
      <c r="I54" s="235"/>
    </row>
    <row r="55" spans="1:9" ht="16.5" x14ac:dyDescent="0.3">
      <c r="A55" s="231"/>
      <c r="B55" s="222"/>
      <c r="C55" s="7"/>
      <c r="D55" s="235"/>
      <c r="E55" s="235"/>
      <c r="F55" s="235"/>
      <c r="G55" s="235"/>
      <c r="H55" s="232"/>
      <c r="I55" s="236">
        <f>SUM(D55:H55)</f>
        <v>0</v>
      </c>
    </row>
    <row r="56" spans="1:9" ht="16.5" x14ac:dyDescent="0.3">
      <c r="A56" s="231">
        <v>61606</v>
      </c>
      <c r="B56" s="127"/>
      <c r="C56" s="224" t="s">
        <v>159</v>
      </c>
      <c r="D56" s="232">
        <f t="shared" ref="D56:I56" si="2">SUM(D57:D58)</f>
        <v>0</v>
      </c>
      <c r="E56" s="232">
        <f t="shared" si="2"/>
        <v>0</v>
      </c>
      <c r="F56" s="232">
        <f t="shared" si="2"/>
        <v>0</v>
      </c>
      <c r="G56" s="232">
        <f t="shared" si="2"/>
        <v>0</v>
      </c>
      <c r="H56" s="232">
        <f t="shared" si="2"/>
        <v>0</v>
      </c>
      <c r="I56" s="233">
        <f t="shared" si="2"/>
        <v>0</v>
      </c>
    </row>
    <row r="57" spans="1:9" ht="16.5" x14ac:dyDescent="0.3">
      <c r="A57" s="231"/>
      <c r="B57" s="127" t="s">
        <v>603</v>
      </c>
      <c r="C57" s="7"/>
      <c r="D57" s="28"/>
      <c r="E57" s="235"/>
      <c r="F57" s="235">
        <v>0</v>
      </c>
      <c r="G57" s="235"/>
      <c r="H57" s="235">
        <v>0</v>
      </c>
      <c r="I57" s="236">
        <f>SUM(D57:H57)</f>
        <v>0</v>
      </c>
    </row>
    <row r="58" spans="1:9" ht="16.5" x14ac:dyDescent="0.3">
      <c r="A58" s="231"/>
      <c r="B58" s="127"/>
      <c r="C58" s="7" t="s">
        <v>732</v>
      </c>
      <c r="D58" s="28"/>
      <c r="E58" s="235">
        <v>0</v>
      </c>
      <c r="F58" s="235"/>
      <c r="G58" s="235">
        <v>0</v>
      </c>
      <c r="H58" s="235">
        <v>0</v>
      </c>
      <c r="I58" s="236">
        <f>SUM(D58:H58)</f>
        <v>0</v>
      </c>
    </row>
    <row r="59" spans="1:9" ht="16.5" x14ac:dyDescent="0.3">
      <c r="A59" s="231">
        <v>61607</v>
      </c>
      <c r="B59" s="127"/>
      <c r="C59" s="226" t="s">
        <v>156</v>
      </c>
      <c r="D59" s="232">
        <f>SUM(D60:D68)</f>
        <v>0</v>
      </c>
      <c r="E59" s="232">
        <f>SUM(E60:E68)</f>
        <v>7000</v>
      </c>
      <c r="F59" s="232">
        <f>SUM(F60:F68)</f>
        <v>0</v>
      </c>
      <c r="G59" s="232">
        <f>SUM(G60:G68)</f>
        <v>0</v>
      </c>
      <c r="H59" s="232">
        <f>SUM(H60:H70)</f>
        <v>0</v>
      </c>
      <c r="I59" s="233">
        <f>SUM(I60:I68)</f>
        <v>7000</v>
      </c>
    </row>
    <row r="60" spans="1:9" ht="16.5" x14ac:dyDescent="0.3">
      <c r="A60" s="231"/>
      <c r="B60" s="127" t="s">
        <v>273</v>
      </c>
      <c r="C60" s="7"/>
      <c r="D60" s="28"/>
      <c r="E60" s="235">
        <v>0</v>
      </c>
      <c r="F60" s="235"/>
      <c r="G60" s="235"/>
      <c r="H60" s="235">
        <v>0</v>
      </c>
      <c r="I60" s="236">
        <f t="shared" ref="I60:I68" si="3">SUM(D60:H60)</f>
        <v>0</v>
      </c>
    </row>
    <row r="61" spans="1:9" ht="16.5" x14ac:dyDescent="0.3">
      <c r="A61" s="231"/>
      <c r="B61" s="127" t="s">
        <v>603</v>
      </c>
      <c r="C61" s="512" t="s">
        <v>733</v>
      </c>
      <c r="D61" s="28"/>
      <c r="E61" s="235">
        <v>7000</v>
      </c>
      <c r="F61" s="235"/>
      <c r="G61" s="235"/>
      <c r="H61" s="235"/>
      <c r="I61" s="236">
        <f t="shared" si="3"/>
        <v>7000</v>
      </c>
    </row>
    <row r="62" spans="1:9" ht="16.5" x14ac:dyDescent="0.3">
      <c r="A62" s="231"/>
      <c r="B62" s="127"/>
      <c r="C62" s="7"/>
      <c r="D62" s="28"/>
      <c r="E62" s="235"/>
      <c r="F62" s="235"/>
      <c r="G62" s="235"/>
      <c r="H62" s="235"/>
      <c r="I62" s="236">
        <f t="shared" si="3"/>
        <v>0</v>
      </c>
    </row>
    <row r="63" spans="1:9" ht="16.5" x14ac:dyDescent="0.3">
      <c r="A63" s="231"/>
      <c r="B63" s="127"/>
      <c r="C63" s="7"/>
      <c r="D63" s="28"/>
      <c r="E63" s="235"/>
      <c r="F63" s="235"/>
      <c r="G63" s="235"/>
      <c r="H63" s="235"/>
      <c r="I63" s="236">
        <f t="shared" si="3"/>
        <v>0</v>
      </c>
    </row>
    <row r="64" spans="1:9" ht="16.5" x14ac:dyDescent="0.3">
      <c r="A64" s="231"/>
      <c r="B64" s="127"/>
      <c r="C64" s="7"/>
      <c r="D64" s="28"/>
      <c r="E64" s="235"/>
      <c r="F64" s="235"/>
      <c r="G64" s="235"/>
      <c r="H64" s="235"/>
      <c r="I64" s="236">
        <f t="shared" si="3"/>
        <v>0</v>
      </c>
    </row>
    <row r="65" spans="1:9" ht="16.5" x14ac:dyDescent="0.3">
      <c r="A65" s="231"/>
      <c r="B65" s="127"/>
      <c r="C65" s="512"/>
      <c r="D65" s="28"/>
      <c r="E65" s="235"/>
      <c r="F65" s="235"/>
      <c r="G65" s="235"/>
      <c r="H65" s="235"/>
      <c r="I65" s="236">
        <f t="shared" si="3"/>
        <v>0</v>
      </c>
    </row>
    <row r="66" spans="1:9" ht="16.5" x14ac:dyDescent="0.3">
      <c r="A66" s="231"/>
      <c r="B66" s="127"/>
      <c r="C66" s="7"/>
      <c r="D66" s="28"/>
      <c r="E66" s="235"/>
      <c r="F66" s="235"/>
      <c r="G66" s="235"/>
      <c r="H66" s="235"/>
      <c r="I66" s="236">
        <f t="shared" si="3"/>
        <v>0</v>
      </c>
    </row>
    <row r="67" spans="1:9" ht="16.5" x14ac:dyDescent="0.3">
      <c r="A67" s="231"/>
      <c r="B67" s="127"/>
      <c r="C67" s="7"/>
      <c r="D67" s="28"/>
      <c r="E67" s="235"/>
      <c r="F67" s="235"/>
      <c r="G67" s="235"/>
      <c r="H67" s="235"/>
      <c r="I67" s="236">
        <f t="shared" si="3"/>
        <v>0</v>
      </c>
    </row>
    <row r="68" spans="1:9" ht="16.5" x14ac:dyDescent="0.3">
      <c r="A68" s="231"/>
      <c r="B68" s="127"/>
      <c r="C68" s="7"/>
      <c r="D68" s="28"/>
      <c r="E68" s="235">
        <v>0</v>
      </c>
      <c r="F68" s="235"/>
      <c r="G68" s="235"/>
      <c r="H68" s="235">
        <v>0</v>
      </c>
      <c r="I68" s="236">
        <f t="shared" si="3"/>
        <v>0</v>
      </c>
    </row>
    <row r="69" spans="1:9" ht="16.5" x14ac:dyDescent="0.3">
      <c r="A69" s="231">
        <v>61699</v>
      </c>
      <c r="B69" s="127"/>
      <c r="C69" s="226" t="s">
        <v>160</v>
      </c>
      <c r="D69" s="232">
        <f>SUM(D70:D75)</f>
        <v>0</v>
      </c>
      <c r="E69" s="232">
        <f>SUM(E70:E76)</f>
        <v>96000</v>
      </c>
      <c r="F69" s="232">
        <f>SUM(F70:F76)</f>
        <v>0</v>
      </c>
      <c r="G69" s="232">
        <f>SUM(G70:G76)</f>
        <v>161413</v>
      </c>
      <c r="H69" s="232">
        <f>SUM(H70:H76)</f>
        <v>0</v>
      </c>
      <c r="I69" s="232">
        <f>SUM(I70:I76)</f>
        <v>257413</v>
      </c>
    </row>
    <row r="70" spans="1:9" ht="16.5" x14ac:dyDescent="0.3">
      <c r="A70" s="130">
        <v>54603</v>
      </c>
      <c r="B70" s="127" t="s">
        <v>274</v>
      </c>
      <c r="C70" s="7" t="s">
        <v>734</v>
      </c>
      <c r="D70" s="28"/>
      <c r="E70" s="235">
        <v>96000</v>
      </c>
      <c r="F70" s="235">
        <v>0</v>
      </c>
      <c r="G70" s="235">
        <v>161413</v>
      </c>
      <c r="H70" s="235">
        <v>0</v>
      </c>
      <c r="I70" s="236">
        <f t="shared" ref="I70:I79" si="4">SUM(D70:H70)</f>
        <v>257413</v>
      </c>
    </row>
    <row r="71" spans="1:9" ht="16.5" x14ac:dyDescent="0.3">
      <c r="A71" s="240"/>
      <c r="B71" s="127" t="s">
        <v>421</v>
      </c>
      <c r="C71" s="7"/>
      <c r="D71" s="235"/>
      <c r="E71" s="235"/>
      <c r="F71" s="235"/>
      <c r="G71" s="235"/>
      <c r="H71" s="235">
        <f>SUM(H72:H79)</f>
        <v>0</v>
      </c>
      <c r="I71" s="236">
        <f t="shared" si="4"/>
        <v>0</v>
      </c>
    </row>
    <row r="72" spans="1:9" ht="16.5" x14ac:dyDescent="0.3">
      <c r="A72" s="130"/>
      <c r="B72" s="127"/>
      <c r="C72" s="7"/>
      <c r="D72" s="235"/>
      <c r="E72" s="235">
        <v>0</v>
      </c>
      <c r="F72" s="235">
        <v>0</v>
      </c>
      <c r="G72" s="235"/>
      <c r="H72" s="235">
        <v>0</v>
      </c>
      <c r="I72" s="236">
        <f t="shared" si="4"/>
        <v>0</v>
      </c>
    </row>
    <row r="73" spans="1:9" ht="16.5" x14ac:dyDescent="0.3">
      <c r="A73" s="240"/>
      <c r="B73" s="127"/>
      <c r="C73" s="7"/>
      <c r="D73" s="235"/>
      <c r="E73" s="235"/>
      <c r="F73" s="235"/>
      <c r="G73" s="235"/>
      <c r="H73" s="235"/>
      <c r="I73" s="236">
        <f t="shared" si="4"/>
        <v>0</v>
      </c>
    </row>
    <row r="74" spans="1:9" ht="16.5" x14ac:dyDescent="0.3">
      <c r="A74" s="240"/>
      <c r="B74" s="127"/>
      <c r="C74" s="7"/>
      <c r="D74" s="235"/>
      <c r="E74" s="235"/>
      <c r="F74" s="235"/>
      <c r="G74" s="235"/>
      <c r="H74" s="235"/>
      <c r="I74" s="236">
        <f t="shared" si="4"/>
        <v>0</v>
      </c>
    </row>
    <row r="75" spans="1:9" ht="16.5" x14ac:dyDescent="0.3">
      <c r="A75" s="240"/>
      <c r="B75" s="127"/>
      <c r="C75" s="7"/>
      <c r="D75" s="235"/>
      <c r="E75" s="235">
        <v>0</v>
      </c>
      <c r="F75" s="235"/>
      <c r="G75" s="235"/>
      <c r="H75" s="235">
        <v>0</v>
      </c>
      <c r="I75" s="236">
        <f t="shared" si="4"/>
        <v>0</v>
      </c>
    </row>
    <row r="76" spans="1:9" ht="16.5" x14ac:dyDescent="0.3">
      <c r="A76" s="240">
        <v>54302</v>
      </c>
      <c r="B76" s="127"/>
      <c r="C76" s="7"/>
      <c r="D76" s="28"/>
      <c r="E76" s="28"/>
      <c r="F76" s="235">
        <v>0</v>
      </c>
      <c r="G76" s="235">
        <v>0</v>
      </c>
      <c r="H76" s="235">
        <v>0</v>
      </c>
      <c r="I76" s="236">
        <f t="shared" si="4"/>
        <v>0</v>
      </c>
    </row>
    <row r="77" spans="1:9" ht="17.25" thickBot="1" x14ac:dyDescent="0.35">
      <c r="A77" s="241"/>
      <c r="B77" s="407"/>
      <c r="C77" s="7"/>
      <c r="D77" s="408"/>
      <c r="E77" s="28"/>
      <c r="F77" s="235">
        <v>0</v>
      </c>
      <c r="G77" s="235">
        <v>0</v>
      </c>
      <c r="H77" s="235">
        <v>0</v>
      </c>
      <c r="I77" s="236">
        <f t="shared" si="4"/>
        <v>0</v>
      </c>
    </row>
    <row r="78" spans="1:9" ht="16.5" x14ac:dyDescent="0.3">
      <c r="A78" s="240"/>
      <c r="B78" s="127"/>
      <c r="C78" s="7"/>
      <c r="D78" s="28"/>
      <c r="E78" s="235">
        <v>0</v>
      </c>
      <c r="F78" s="406"/>
      <c r="G78" s="406"/>
      <c r="H78" s="406"/>
      <c r="I78" s="236">
        <f t="shared" si="4"/>
        <v>0</v>
      </c>
    </row>
    <row r="79" spans="1:9" ht="17.25" thickBot="1" x14ac:dyDescent="0.35">
      <c r="A79" s="241"/>
      <c r="B79" s="407"/>
      <c r="C79" s="11"/>
      <c r="D79" s="408"/>
      <c r="E79" s="408">
        <v>0</v>
      </c>
      <c r="F79" s="250">
        <v>0</v>
      </c>
      <c r="G79" s="250"/>
      <c r="H79" s="250">
        <v>0</v>
      </c>
      <c r="I79" s="251">
        <f t="shared" si="4"/>
        <v>0</v>
      </c>
    </row>
    <row r="80" spans="1:9" ht="17.25" thickBot="1" x14ac:dyDescent="0.35">
      <c r="A80" s="237"/>
      <c r="B80" s="238"/>
      <c r="C80" s="224" t="s">
        <v>67</v>
      </c>
      <c r="D80" s="239">
        <f>D10+D16+D44+D47+D52+D56+D59+D69+D76+D77</f>
        <v>0</v>
      </c>
      <c r="E80" s="239">
        <f>E10+E16+E44+E47+E52+E56+E59+E69+E76+E77</f>
        <v>103000</v>
      </c>
      <c r="F80" s="239">
        <f>F10+F16+F44+F47+F52+F56+F59+F69+F76+F77</f>
        <v>0</v>
      </c>
      <c r="G80" s="239">
        <f>G10+G16+G44+G47+G52+G56+G59+G69+G76+G77</f>
        <v>161413</v>
      </c>
      <c r="H80" s="239">
        <f>H10+H16+H44+H47+H52+H56+H59+H69+H76+H77</f>
        <v>0</v>
      </c>
      <c r="I80" s="239">
        <f>I10+I16+I44+I47+I52+I56+I59+I69+I75</f>
        <v>264413</v>
      </c>
    </row>
    <row r="81" spans="1:9" ht="16.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6.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6.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6.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6.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1" type="noConversion"/>
  <pageMargins left="0.70866141732283472" right="0.70866141732283472" top="0.4" bottom="0.74803149606299213" header="0.2" footer="0.31496062992125984"/>
  <pageSetup scale="64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30" zoomScaleNormal="130" workbookViewId="0">
      <pane xSplit="1" ySplit="2" topLeftCell="B85" activePane="bottomRight" state="frozen"/>
      <selection activeCell="A7" sqref="A7"/>
      <selection pane="topRight" activeCell="B7" sqref="B7"/>
      <selection pane="bottomLeft" activeCell="A9" sqref="A9"/>
      <selection pane="bottomRight" activeCell="D76" sqref="D76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10" t="s">
        <v>189</v>
      </c>
      <c r="B1" s="610"/>
      <c r="C1" s="610"/>
      <c r="D1" s="610"/>
      <c r="E1" s="610"/>
      <c r="F1" s="610"/>
      <c r="G1" s="610"/>
      <c r="H1" s="610"/>
      <c r="I1" s="610"/>
    </row>
    <row r="2" spans="1:9" ht="15.75" x14ac:dyDescent="0.25">
      <c r="A2" s="610" t="s">
        <v>190</v>
      </c>
      <c r="B2" s="610"/>
      <c r="C2" s="610"/>
      <c r="D2" s="610"/>
      <c r="E2" s="610"/>
      <c r="F2" s="610"/>
      <c r="G2" s="610"/>
      <c r="H2" s="610"/>
      <c r="I2" s="610"/>
    </row>
    <row r="3" spans="1:9" ht="15.75" x14ac:dyDescent="0.25">
      <c r="A3" s="610" t="s">
        <v>191</v>
      </c>
      <c r="B3" s="610"/>
      <c r="C3" s="610"/>
      <c r="D3" s="610"/>
      <c r="E3" s="610"/>
      <c r="F3" s="610"/>
      <c r="G3" s="610"/>
      <c r="H3" s="610"/>
      <c r="I3" s="610"/>
    </row>
    <row r="4" spans="1:9" ht="16.5" thickBot="1" x14ac:dyDescent="0.3">
      <c r="A4" s="611" t="s">
        <v>192</v>
      </c>
      <c r="B4" s="611"/>
      <c r="C4" s="611"/>
      <c r="D4" s="611"/>
      <c r="E4" s="611"/>
      <c r="F4" s="611"/>
      <c r="G4" s="611"/>
      <c r="H4" s="611"/>
      <c r="I4" s="611"/>
    </row>
    <row r="5" spans="1:9" ht="15" customHeight="1" x14ac:dyDescent="0.25">
      <c r="A5" s="612" t="s">
        <v>193</v>
      </c>
      <c r="B5" s="613"/>
      <c r="C5" s="604" t="s">
        <v>370</v>
      </c>
      <c r="D5" s="605"/>
      <c r="E5" s="604" t="s">
        <v>371</v>
      </c>
      <c r="F5" s="605"/>
      <c r="G5" s="60"/>
      <c r="H5" s="61"/>
      <c r="I5" s="62"/>
    </row>
    <row r="6" spans="1:9" ht="36.75" customHeight="1" thickBot="1" x14ac:dyDescent="0.3">
      <c r="A6" s="614"/>
      <c r="B6" s="615"/>
      <c r="C6" s="606"/>
      <c r="D6" s="607"/>
      <c r="E6" s="606"/>
      <c r="F6" s="607"/>
      <c r="G6" s="66"/>
      <c r="H6" s="63"/>
      <c r="I6" s="64"/>
    </row>
    <row r="7" spans="1:9" ht="20.25" customHeight="1" x14ac:dyDescent="0.25">
      <c r="A7" s="67"/>
      <c r="B7" s="211" t="s">
        <v>372</v>
      </c>
      <c r="C7" s="68" t="s">
        <v>194</v>
      </c>
      <c r="D7" s="69" t="s">
        <v>195</v>
      </c>
      <c r="E7" s="177" t="s">
        <v>196</v>
      </c>
      <c r="F7" s="177" t="s">
        <v>343</v>
      </c>
      <c r="G7" s="608" t="s">
        <v>1</v>
      </c>
      <c r="H7" s="602" t="s">
        <v>197</v>
      </c>
      <c r="I7" s="603"/>
    </row>
    <row r="8" spans="1:9" ht="54" customHeight="1" thickBot="1" x14ac:dyDescent="0.3">
      <c r="A8" s="70" t="s">
        <v>198</v>
      </c>
      <c r="B8" s="71" t="s">
        <v>173</v>
      </c>
      <c r="C8" s="72" t="s">
        <v>199</v>
      </c>
      <c r="D8" s="73" t="s">
        <v>200</v>
      </c>
      <c r="E8" s="74" t="s">
        <v>351</v>
      </c>
      <c r="F8" s="73" t="s">
        <v>352</v>
      </c>
      <c r="G8" s="609"/>
      <c r="H8" s="75" t="s">
        <v>353</v>
      </c>
      <c r="I8" s="76" t="s">
        <v>354</v>
      </c>
    </row>
    <row r="9" spans="1:9" x14ac:dyDescent="0.25">
      <c r="A9" s="180">
        <v>54</v>
      </c>
      <c r="B9" s="181" t="s">
        <v>88</v>
      </c>
      <c r="C9" s="178">
        <f t="shared" ref="C9:I9" si="0">+C10+C30+C36+C52+C57+C65</f>
        <v>56214.9</v>
      </c>
      <c r="D9" s="178">
        <f t="shared" si="0"/>
        <v>408014.97</v>
      </c>
      <c r="E9" s="178">
        <f t="shared" si="0"/>
        <v>4691.04</v>
      </c>
      <c r="F9" s="178">
        <f t="shared" si="0"/>
        <v>160780.764</v>
      </c>
      <c r="G9" s="178">
        <f t="shared" si="0"/>
        <v>629701.674</v>
      </c>
      <c r="H9" s="178">
        <f t="shared" si="0"/>
        <v>221587.24</v>
      </c>
      <c r="I9" s="185">
        <f t="shared" si="0"/>
        <v>408114.43400000001</v>
      </c>
    </row>
    <row r="10" spans="1:9" x14ac:dyDescent="0.25">
      <c r="A10" s="129">
        <v>541</v>
      </c>
      <c r="B10" s="128" t="s">
        <v>89</v>
      </c>
      <c r="C10" s="179">
        <f t="shared" ref="C10:I10" si="1">SUM(C11:C29)</f>
        <v>18114.900000000001</v>
      </c>
      <c r="D10" s="179">
        <f t="shared" si="1"/>
        <v>41601.26</v>
      </c>
      <c r="E10" s="179">
        <f t="shared" si="1"/>
        <v>3381.04</v>
      </c>
      <c r="F10" s="179">
        <f t="shared" si="1"/>
        <v>119651.88399999999</v>
      </c>
      <c r="G10" s="179">
        <f t="shared" si="1"/>
        <v>182749.084</v>
      </c>
      <c r="H10" s="179">
        <f t="shared" si="1"/>
        <v>0</v>
      </c>
      <c r="I10" s="186">
        <f t="shared" si="1"/>
        <v>182749.084</v>
      </c>
    </row>
    <row r="11" spans="1:9" x14ac:dyDescent="0.25">
      <c r="A11" s="77">
        <v>54101</v>
      </c>
      <c r="B11" s="78" t="s">
        <v>202</v>
      </c>
      <c r="C11" s="353">
        <f>+'[3]grupo por linea'!$O$12</f>
        <v>4668</v>
      </c>
      <c r="D11" s="353">
        <f>+'[3]grupo por linea'!$W$12</f>
        <v>471.6</v>
      </c>
      <c r="E11" s="353">
        <f>+'[3]grupo por linea'!$AB$12</f>
        <v>589.20000000000005</v>
      </c>
      <c r="F11" s="353">
        <f>+'[3]grupo por linea'!$AW$12</f>
        <v>10071.6</v>
      </c>
      <c r="G11" s="79">
        <f t="shared" ref="G11:G29" si="2">SUM(C11:F11)</f>
        <v>15800.400000000001</v>
      </c>
      <c r="H11" s="79"/>
      <c r="I11" s="80">
        <f t="shared" ref="I11:I29" si="3">G11+H11</f>
        <v>15800.400000000001</v>
      </c>
    </row>
    <row r="12" spans="1:9" x14ac:dyDescent="0.25">
      <c r="A12" s="77">
        <v>54103</v>
      </c>
      <c r="B12" s="78" t="s">
        <v>203</v>
      </c>
      <c r="C12" s="353"/>
      <c r="D12" s="353"/>
      <c r="E12" s="353"/>
      <c r="F12" s="353">
        <f>+'[3]grupo por linea'!$AW$13</f>
        <v>192</v>
      </c>
      <c r="G12" s="79">
        <f t="shared" si="2"/>
        <v>192</v>
      </c>
      <c r="H12" s="79"/>
      <c r="I12" s="80">
        <f t="shared" si="3"/>
        <v>192</v>
      </c>
    </row>
    <row r="13" spans="1:9" x14ac:dyDescent="0.25">
      <c r="A13" s="77">
        <v>54104</v>
      </c>
      <c r="B13" s="78" t="s">
        <v>91</v>
      </c>
      <c r="C13" s="353">
        <f>+'[3]grupo por linea'!$O$22</f>
        <v>1621.12</v>
      </c>
      <c r="D13" s="353">
        <f>+'[3]grupo por linea'!$W$22</f>
        <v>2766.34</v>
      </c>
      <c r="E13" s="353">
        <f>+'[3]grupo por linea'!$AB$22</f>
        <v>103.08</v>
      </c>
      <c r="F13" s="353">
        <f>+'[3]grupo por linea'!$AW$22</f>
        <v>15986.41</v>
      </c>
      <c r="G13" s="79">
        <f t="shared" si="2"/>
        <v>20476.95</v>
      </c>
      <c r="H13" s="79"/>
      <c r="I13" s="80">
        <f t="shared" si="3"/>
        <v>20476.95</v>
      </c>
    </row>
    <row r="14" spans="1:9" x14ac:dyDescent="0.25">
      <c r="A14" s="77">
        <v>54105</v>
      </c>
      <c r="B14" s="78" t="s">
        <v>204</v>
      </c>
      <c r="C14" s="353">
        <f>+'[3]grupo por linea'!$O$56</f>
        <v>2613.7199999999998</v>
      </c>
      <c r="D14" s="353">
        <f>+'[3]grupo por linea'!$W$56</f>
        <v>2995.65</v>
      </c>
      <c r="E14" s="353">
        <f>+'[3]grupo por linea'!$AB$56</f>
        <v>503.05999999999995</v>
      </c>
      <c r="F14" s="353">
        <f>+'[3]grupo por linea'!$AW$56</f>
        <v>5581.3540000000012</v>
      </c>
      <c r="G14" s="79">
        <f t="shared" si="2"/>
        <v>11693.784000000001</v>
      </c>
      <c r="H14" s="79"/>
      <c r="I14" s="80">
        <f t="shared" si="3"/>
        <v>11693.784000000001</v>
      </c>
    </row>
    <row r="15" spans="1:9" x14ac:dyDescent="0.25">
      <c r="A15" s="77">
        <v>54106</v>
      </c>
      <c r="B15" s="78" t="s">
        <v>93</v>
      </c>
      <c r="C15" s="353">
        <f>+'[3]grupo por linea'!$O$58</f>
        <v>350</v>
      </c>
      <c r="D15" s="353">
        <f>+'[3]grupo por linea'!$W$58</f>
        <v>2.5499999999999998</v>
      </c>
      <c r="E15" s="353">
        <f>+'[3]grupo por linea'!$AB$58</f>
        <v>0</v>
      </c>
      <c r="F15" s="353">
        <f>+'[3]grupo por linea'!$AW$58</f>
        <v>520</v>
      </c>
      <c r="G15" s="79">
        <f t="shared" si="2"/>
        <v>872.55</v>
      </c>
      <c r="H15" s="79"/>
      <c r="I15" s="80">
        <f t="shared" si="3"/>
        <v>872.55</v>
      </c>
    </row>
    <row r="16" spans="1:9" x14ac:dyDescent="0.25">
      <c r="A16" s="77">
        <v>54107</v>
      </c>
      <c r="B16" s="78" t="s">
        <v>94</v>
      </c>
      <c r="C16" s="353">
        <f>+'[3]grupo por linea'!$O$100</f>
        <v>1575.45</v>
      </c>
      <c r="D16" s="353">
        <f>+'[3]grupo por linea'!$W$100</f>
        <v>304.65999999999997</v>
      </c>
      <c r="E16" s="353">
        <f>+'[3]grupo por linea'!$AB$100</f>
        <v>83</v>
      </c>
      <c r="F16" s="353">
        <f>+'[3]grupo por linea'!$AW$100</f>
        <v>12582.61</v>
      </c>
      <c r="G16" s="79">
        <f t="shared" si="2"/>
        <v>14545.720000000001</v>
      </c>
      <c r="H16" s="79"/>
      <c r="I16" s="80">
        <f t="shared" si="3"/>
        <v>14545.720000000001</v>
      </c>
    </row>
    <row r="17" spans="1:9" x14ac:dyDescent="0.25">
      <c r="A17" s="77">
        <v>54108</v>
      </c>
      <c r="B17" s="78" t="s">
        <v>95</v>
      </c>
      <c r="C17" s="353"/>
      <c r="D17" s="353"/>
      <c r="E17" s="353"/>
      <c r="F17" s="353">
        <v>1000</v>
      </c>
      <c r="G17" s="79">
        <f t="shared" si="2"/>
        <v>1000</v>
      </c>
      <c r="H17" s="79"/>
      <c r="I17" s="80">
        <f t="shared" si="3"/>
        <v>1000</v>
      </c>
    </row>
    <row r="18" spans="1:9" x14ac:dyDescent="0.25">
      <c r="A18" s="77">
        <v>54109</v>
      </c>
      <c r="B18" s="78" t="s">
        <v>96</v>
      </c>
      <c r="C18" s="353">
        <v>750</v>
      </c>
      <c r="D18" s="353"/>
      <c r="E18" s="353"/>
      <c r="F18" s="353">
        <v>2250</v>
      </c>
      <c r="G18" s="79">
        <f t="shared" si="2"/>
        <v>3000</v>
      </c>
      <c r="H18" s="79"/>
      <c r="I18" s="80">
        <f t="shared" si="3"/>
        <v>3000</v>
      </c>
    </row>
    <row r="19" spans="1:9" x14ac:dyDescent="0.25">
      <c r="A19" s="77">
        <v>54110</v>
      </c>
      <c r="B19" s="78" t="s">
        <v>97</v>
      </c>
      <c r="C19" s="353"/>
      <c r="D19" s="353"/>
      <c r="E19" s="353"/>
      <c r="F19" s="353">
        <v>45000</v>
      </c>
      <c r="G19" s="79">
        <f t="shared" si="2"/>
        <v>45000</v>
      </c>
      <c r="H19" s="79"/>
      <c r="I19" s="80">
        <f t="shared" si="3"/>
        <v>45000</v>
      </c>
    </row>
    <row r="20" spans="1:9" x14ac:dyDescent="0.25">
      <c r="A20" s="77">
        <v>54111</v>
      </c>
      <c r="B20" s="78" t="s">
        <v>205</v>
      </c>
      <c r="C20" s="353">
        <v>4000</v>
      </c>
      <c r="D20" s="353"/>
      <c r="E20" s="353">
        <v>443</v>
      </c>
      <c r="F20" s="353">
        <f>+'[3]grupo por linea'!$AW$107</f>
        <v>50.400000000000006</v>
      </c>
      <c r="G20" s="79">
        <f t="shared" si="2"/>
        <v>4493.3999999999996</v>
      </c>
      <c r="H20" s="79"/>
      <c r="I20" s="80">
        <f t="shared" si="3"/>
        <v>4493.3999999999996</v>
      </c>
    </row>
    <row r="21" spans="1:9" x14ac:dyDescent="0.25">
      <c r="A21" s="77">
        <v>54112</v>
      </c>
      <c r="B21" s="78" t="s">
        <v>206</v>
      </c>
      <c r="C21" s="353"/>
      <c r="D21" s="353"/>
      <c r="E21" s="353">
        <v>500</v>
      </c>
      <c r="F21" s="353">
        <v>500</v>
      </c>
      <c r="G21" s="79">
        <f t="shared" si="2"/>
        <v>1000</v>
      </c>
      <c r="H21" s="79"/>
      <c r="I21" s="80">
        <f t="shared" si="3"/>
        <v>1000</v>
      </c>
    </row>
    <row r="22" spans="1:9" x14ac:dyDescent="0.25">
      <c r="A22" s="77">
        <v>54114</v>
      </c>
      <c r="B22" s="78" t="s">
        <v>100</v>
      </c>
      <c r="C22" s="353">
        <f>+'[3]grupo por linea'!$O$147</f>
        <v>528.14</v>
      </c>
      <c r="D22" s="353">
        <f>+'[3]grupo por linea'!$W$147</f>
        <v>1182.7200000000003</v>
      </c>
      <c r="E22" s="353">
        <f>+'[3]grupo por linea'!$AB$147</f>
        <v>107.45000000000002</v>
      </c>
      <c r="F22" s="353">
        <f>+'[3]grupo por linea'!$AW$147</f>
        <v>4461.6799999999985</v>
      </c>
      <c r="G22" s="79">
        <f t="shared" si="2"/>
        <v>6279.9899999999989</v>
      </c>
      <c r="H22" s="79"/>
      <c r="I22" s="80">
        <f t="shared" si="3"/>
        <v>6279.9899999999989</v>
      </c>
    </row>
    <row r="23" spans="1:9" x14ac:dyDescent="0.25">
      <c r="A23" s="77">
        <v>54115</v>
      </c>
      <c r="B23" s="78" t="s">
        <v>101</v>
      </c>
      <c r="C23" s="353">
        <f>+'[3]grupo por linea'!$O$166</f>
        <v>781.75</v>
      </c>
      <c r="D23" s="353">
        <f>+'[3]grupo por linea'!$W$166</f>
        <v>3827.1</v>
      </c>
      <c r="E23" s="353">
        <f>+'[3]grupo por linea'!$AB$166</f>
        <v>1052.25</v>
      </c>
      <c r="F23" s="353">
        <f>+'[3]grupo por linea'!$AW$166</f>
        <v>4619.75</v>
      </c>
      <c r="G23" s="79">
        <f t="shared" si="2"/>
        <v>10280.85</v>
      </c>
      <c r="H23" s="79"/>
      <c r="I23" s="80">
        <f t="shared" si="3"/>
        <v>10280.85</v>
      </c>
    </row>
    <row r="24" spans="1:9" x14ac:dyDescent="0.25">
      <c r="A24" s="77">
        <v>54116</v>
      </c>
      <c r="B24" s="78" t="s">
        <v>207</v>
      </c>
      <c r="C24" s="353"/>
      <c r="D24" s="353"/>
      <c r="E24" s="353"/>
      <c r="F24" s="353"/>
      <c r="G24" s="79">
        <f t="shared" si="2"/>
        <v>0</v>
      </c>
      <c r="H24" s="79"/>
      <c r="I24" s="80">
        <f t="shared" si="3"/>
        <v>0</v>
      </c>
    </row>
    <row r="25" spans="1:9" x14ac:dyDescent="0.25">
      <c r="A25" s="77">
        <v>54117</v>
      </c>
      <c r="B25" s="78" t="s">
        <v>102</v>
      </c>
      <c r="C25" s="353">
        <f>+'[3]grupo por linea'!$O$173</f>
        <v>1000</v>
      </c>
      <c r="D25" s="353">
        <f>+'[3]grupo por linea'!$W$173</f>
        <v>0</v>
      </c>
      <c r="E25" s="353">
        <f>+'[3]grupo por linea'!$AB$173</f>
        <v>0</v>
      </c>
      <c r="F25" s="353">
        <f>+'[3]grupo por linea'!$AW$173</f>
        <v>3357.5</v>
      </c>
      <c r="G25" s="79">
        <f t="shared" si="2"/>
        <v>4357.5</v>
      </c>
      <c r="H25" s="79"/>
      <c r="I25" s="80">
        <f t="shared" si="3"/>
        <v>4357.5</v>
      </c>
    </row>
    <row r="26" spans="1:9" x14ac:dyDescent="0.25">
      <c r="A26" s="77">
        <v>54118</v>
      </c>
      <c r="B26" s="78" t="s">
        <v>208</v>
      </c>
      <c r="C26" s="353">
        <f>+'[3]grupo por linea'!$O$201</f>
        <v>190</v>
      </c>
      <c r="D26" s="353">
        <f>+'[3]grupo por linea'!$W$201</f>
        <v>0</v>
      </c>
      <c r="E26" s="353">
        <f>+'[3]grupo por linea'!$AB$201</f>
        <v>0</v>
      </c>
      <c r="F26" s="353">
        <f>+'[3]grupo por linea'!$AW$201</f>
        <v>6414.2000000000007</v>
      </c>
      <c r="G26" s="79">
        <f t="shared" si="2"/>
        <v>6604.2000000000007</v>
      </c>
      <c r="H26" s="79"/>
      <c r="I26" s="80">
        <f t="shared" si="3"/>
        <v>6604.2000000000007</v>
      </c>
    </row>
    <row r="27" spans="1:9" x14ac:dyDescent="0.25">
      <c r="A27" s="77">
        <v>54119</v>
      </c>
      <c r="B27" s="78" t="s">
        <v>104</v>
      </c>
      <c r="C27" s="353">
        <f>+'[3]grupo por linea'!$O$211</f>
        <v>0</v>
      </c>
      <c r="D27" s="353">
        <f>+'[3]grupo por linea'!$W$211</f>
        <v>0</v>
      </c>
      <c r="E27" s="353">
        <f>+'[3]grupo por linea'!$AB$211</f>
        <v>0</v>
      </c>
      <c r="F27" s="353">
        <f>+'[3]grupo por linea'!$AW$211</f>
        <v>1473.5</v>
      </c>
      <c r="G27" s="79">
        <f t="shared" si="2"/>
        <v>1473.5</v>
      </c>
      <c r="H27" s="79"/>
      <c r="I27" s="80">
        <f t="shared" si="3"/>
        <v>1473.5</v>
      </c>
    </row>
    <row r="28" spans="1:9" x14ac:dyDescent="0.25">
      <c r="A28" s="77">
        <v>54121</v>
      </c>
      <c r="B28" s="78" t="s">
        <v>105</v>
      </c>
      <c r="C28" s="353"/>
      <c r="D28" s="353">
        <v>30000</v>
      </c>
      <c r="E28" s="353"/>
      <c r="F28" s="353"/>
      <c r="G28" s="79">
        <f t="shared" si="2"/>
        <v>30000</v>
      </c>
      <c r="H28" s="79"/>
      <c r="I28" s="80">
        <f t="shared" si="3"/>
        <v>30000</v>
      </c>
    </row>
    <row r="29" spans="1:9" x14ac:dyDescent="0.25">
      <c r="A29" s="77">
        <v>54199</v>
      </c>
      <c r="B29" s="78" t="s">
        <v>209</v>
      </c>
      <c r="C29" s="353">
        <f>+'[3]grupo por linea'!$O$230</f>
        <v>36.72</v>
      </c>
      <c r="D29" s="353">
        <f>+'[3]grupo por linea'!$W$230</f>
        <v>50.64</v>
      </c>
      <c r="E29" s="353">
        <f>+'[3]grupo por linea'!$AB$230</f>
        <v>0</v>
      </c>
      <c r="F29" s="353">
        <f>+'[3]grupo por linea'!$AW$230</f>
        <v>5590.88</v>
      </c>
      <c r="G29" s="79">
        <f t="shared" si="2"/>
        <v>5678.24</v>
      </c>
      <c r="H29" s="79">
        <v>0</v>
      </c>
      <c r="I29" s="80">
        <f t="shared" si="3"/>
        <v>5678.24</v>
      </c>
    </row>
    <row r="30" spans="1:9" x14ac:dyDescent="0.25">
      <c r="A30" s="129">
        <v>542</v>
      </c>
      <c r="B30" s="128" t="s">
        <v>47</v>
      </c>
      <c r="C30" s="352">
        <f t="shared" ref="C30:I30" si="4">SUM(C31:C35)</f>
        <v>0</v>
      </c>
      <c r="D30" s="179">
        <f t="shared" si="4"/>
        <v>355708.70999999996</v>
      </c>
      <c r="E30" s="179">
        <f t="shared" si="4"/>
        <v>0</v>
      </c>
      <c r="F30" s="179">
        <f t="shared" si="4"/>
        <v>0</v>
      </c>
      <c r="G30" s="179">
        <f t="shared" si="4"/>
        <v>355708.70999999996</v>
      </c>
      <c r="H30" s="179">
        <f t="shared" si="4"/>
        <v>221587.24</v>
      </c>
      <c r="I30" s="186">
        <f t="shared" si="4"/>
        <v>134121.47</v>
      </c>
    </row>
    <row r="31" spans="1:9" x14ac:dyDescent="0.25">
      <c r="A31" s="77">
        <v>54201</v>
      </c>
      <c r="B31" s="78" t="s">
        <v>107</v>
      </c>
      <c r="C31" s="353"/>
      <c r="D31" s="79">
        <v>209708.71</v>
      </c>
      <c r="E31" s="79"/>
      <c r="F31" s="79">
        <v>0</v>
      </c>
      <c r="G31" s="79">
        <f>SUM(C31:F31)</f>
        <v>209708.71</v>
      </c>
      <c r="H31" s="79">
        <v>165587.24</v>
      </c>
      <c r="I31" s="80">
        <v>44121.47</v>
      </c>
    </row>
    <row r="32" spans="1:9" x14ac:dyDescent="0.25">
      <c r="A32" s="77">
        <v>54202</v>
      </c>
      <c r="B32" s="78" t="s">
        <v>108</v>
      </c>
      <c r="C32" s="353"/>
      <c r="D32" s="79">
        <v>5000</v>
      </c>
      <c r="E32" s="79"/>
      <c r="F32" s="79"/>
      <c r="G32" s="79">
        <f>SUM(C32:F32)</f>
        <v>5000</v>
      </c>
      <c r="H32" s="79">
        <v>0</v>
      </c>
      <c r="I32" s="79">
        <v>5000</v>
      </c>
    </row>
    <row r="33" spans="1:9" x14ac:dyDescent="0.25">
      <c r="A33" s="77">
        <v>54203</v>
      </c>
      <c r="B33" s="78" t="s">
        <v>109</v>
      </c>
      <c r="C33" s="353"/>
      <c r="D33" s="79">
        <v>55000</v>
      </c>
      <c r="E33" s="79"/>
      <c r="F33" s="79"/>
      <c r="G33" s="79">
        <f>SUM(C33:F33)</f>
        <v>55000</v>
      </c>
      <c r="H33" s="79">
        <v>20000</v>
      </c>
      <c r="I33" s="79">
        <v>35000</v>
      </c>
    </row>
    <row r="34" spans="1:9" x14ac:dyDescent="0.25">
      <c r="A34" s="77">
        <v>54204</v>
      </c>
      <c r="B34" s="78" t="s">
        <v>210</v>
      </c>
      <c r="C34" s="353"/>
      <c r="D34" s="79"/>
      <c r="E34" s="79"/>
      <c r="F34" s="79"/>
      <c r="G34" s="79">
        <f>SUM(C34:F34)</f>
        <v>0</v>
      </c>
      <c r="H34" s="79"/>
      <c r="I34" s="79"/>
    </row>
    <row r="35" spans="1:9" x14ac:dyDescent="0.25">
      <c r="A35" s="77">
        <v>54205</v>
      </c>
      <c r="B35" s="78" t="s">
        <v>30</v>
      </c>
      <c r="C35" s="353"/>
      <c r="D35" s="79">
        <v>86000</v>
      </c>
      <c r="E35" s="79"/>
      <c r="F35" s="79"/>
      <c r="G35" s="79">
        <f>SUM(C35:F35)</f>
        <v>86000</v>
      </c>
      <c r="H35" s="79">
        <v>36000</v>
      </c>
      <c r="I35" s="79">
        <v>50000</v>
      </c>
    </row>
    <row r="36" spans="1:9" x14ac:dyDescent="0.25">
      <c r="A36" s="129">
        <v>543</v>
      </c>
      <c r="B36" s="128" t="s">
        <v>211</v>
      </c>
      <c r="C36" s="179">
        <f t="shared" ref="C36:I36" si="5">SUM(C37:C51)</f>
        <v>30600</v>
      </c>
      <c r="D36" s="179">
        <f t="shared" si="5"/>
        <v>10705</v>
      </c>
      <c r="E36" s="179">
        <f t="shared" si="5"/>
        <v>1310</v>
      </c>
      <c r="F36" s="179">
        <f t="shared" si="5"/>
        <v>40128.880000000005</v>
      </c>
      <c r="G36" s="179">
        <f t="shared" si="5"/>
        <v>82743.88</v>
      </c>
      <c r="H36" s="179">
        <f t="shared" si="5"/>
        <v>0</v>
      </c>
      <c r="I36" s="186">
        <f t="shared" si="5"/>
        <v>82743.88</v>
      </c>
    </row>
    <row r="37" spans="1:9" x14ac:dyDescent="0.25">
      <c r="A37" s="77">
        <v>54301</v>
      </c>
      <c r="B37" s="78" t="s">
        <v>212</v>
      </c>
      <c r="C37" s="353">
        <f>+'[3]grupo por linea'!$O$233</f>
        <v>600</v>
      </c>
      <c r="D37" s="353">
        <f>+'[3]grupo por linea'!$W$233</f>
        <v>2205</v>
      </c>
      <c r="E37" s="353">
        <f>+'[3]grupo por linea'!$AB$233</f>
        <v>1310</v>
      </c>
      <c r="F37" s="353">
        <f>+'[3]grupo por linea'!$AW$233</f>
        <v>2550</v>
      </c>
      <c r="G37" s="79">
        <f t="shared" ref="G37:G51" si="6">SUM(C37:F37)</f>
        <v>6665</v>
      </c>
      <c r="H37" s="79"/>
      <c r="I37" s="80">
        <v>6665</v>
      </c>
    </row>
    <row r="38" spans="1:9" x14ac:dyDescent="0.25">
      <c r="A38" s="77">
        <v>54302</v>
      </c>
      <c r="B38" s="78" t="s">
        <v>213</v>
      </c>
      <c r="C38" s="353">
        <v>1000</v>
      </c>
      <c r="D38" s="353"/>
      <c r="E38" s="353"/>
      <c r="F38" s="353">
        <v>12000</v>
      </c>
      <c r="G38" s="79">
        <f t="shared" si="6"/>
        <v>13000</v>
      </c>
      <c r="H38" s="79"/>
      <c r="I38" s="80">
        <v>13000</v>
      </c>
    </row>
    <row r="39" spans="1:9" x14ac:dyDescent="0.25">
      <c r="A39" s="77">
        <v>54303</v>
      </c>
      <c r="B39" s="78" t="s">
        <v>214</v>
      </c>
      <c r="C39" s="353">
        <v>1000</v>
      </c>
      <c r="D39" s="353"/>
      <c r="E39" s="353"/>
      <c r="F39" s="353">
        <v>3362.88</v>
      </c>
      <c r="G39" s="79">
        <f t="shared" si="6"/>
        <v>4362.88</v>
      </c>
      <c r="H39" s="79"/>
      <c r="I39" s="80">
        <v>4362.88</v>
      </c>
    </row>
    <row r="40" spans="1:9" x14ac:dyDescent="0.25">
      <c r="A40" s="77">
        <v>54304</v>
      </c>
      <c r="B40" s="78" t="s">
        <v>115</v>
      </c>
      <c r="C40" s="353">
        <v>2000</v>
      </c>
      <c r="D40" s="353"/>
      <c r="E40" s="353"/>
      <c r="F40" s="353">
        <v>3000</v>
      </c>
      <c r="G40" s="79">
        <f t="shared" si="6"/>
        <v>5000</v>
      </c>
      <c r="H40" s="79">
        <v>0</v>
      </c>
      <c r="I40" s="80">
        <v>5000</v>
      </c>
    </row>
    <row r="41" spans="1:9" x14ac:dyDescent="0.25">
      <c r="A41" s="77">
        <v>54305</v>
      </c>
      <c r="B41" s="78" t="s">
        <v>116</v>
      </c>
      <c r="C41" s="353">
        <v>5000</v>
      </c>
      <c r="D41" s="353"/>
      <c r="E41" s="353"/>
      <c r="F41" s="353">
        <v>3000</v>
      </c>
      <c r="G41" s="79">
        <f t="shared" si="6"/>
        <v>8000</v>
      </c>
      <c r="H41" s="79"/>
      <c r="I41" s="80">
        <v>8000</v>
      </c>
    </row>
    <row r="42" spans="1:9" x14ac:dyDescent="0.25">
      <c r="A42" s="77">
        <v>54306</v>
      </c>
      <c r="B42" s="78" t="s">
        <v>215</v>
      </c>
      <c r="C42" s="353"/>
      <c r="D42" s="353"/>
      <c r="E42" s="353"/>
      <c r="F42" s="353"/>
      <c r="G42" s="79">
        <f t="shared" si="6"/>
        <v>0</v>
      </c>
      <c r="H42" s="79"/>
      <c r="I42" s="80"/>
    </row>
    <row r="43" spans="1:9" x14ac:dyDescent="0.25">
      <c r="A43" s="77">
        <v>54307</v>
      </c>
      <c r="B43" s="78" t="s">
        <v>216</v>
      </c>
      <c r="C43" s="353"/>
      <c r="D43" s="353"/>
      <c r="E43" s="353"/>
      <c r="F43" s="353"/>
      <c r="G43" s="79">
        <f t="shared" si="6"/>
        <v>0</v>
      </c>
      <c r="H43" s="79"/>
      <c r="I43" s="80"/>
    </row>
    <row r="44" spans="1:9" x14ac:dyDescent="0.25">
      <c r="A44" s="77">
        <v>54309</v>
      </c>
      <c r="B44" s="78" t="s">
        <v>217</v>
      </c>
      <c r="C44" s="353"/>
      <c r="D44" s="353"/>
      <c r="E44" s="353"/>
      <c r="F44" s="353"/>
      <c r="G44" s="79">
        <f t="shared" si="6"/>
        <v>0</v>
      </c>
      <c r="H44" s="79"/>
      <c r="I44" s="80"/>
    </row>
    <row r="45" spans="1:9" x14ac:dyDescent="0.25">
      <c r="A45" s="77">
        <v>54310</v>
      </c>
      <c r="B45" s="78" t="s">
        <v>117</v>
      </c>
      <c r="C45" s="353">
        <v>3000</v>
      </c>
      <c r="D45" s="353"/>
      <c r="E45" s="353"/>
      <c r="F45" s="353">
        <v>5000</v>
      </c>
      <c r="G45" s="79">
        <f t="shared" si="6"/>
        <v>8000</v>
      </c>
      <c r="H45" s="79"/>
      <c r="I45" s="80">
        <v>8000</v>
      </c>
    </row>
    <row r="46" spans="1:9" x14ac:dyDescent="0.25">
      <c r="A46" s="77">
        <v>54311</v>
      </c>
      <c r="B46" s="78" t="s">
        <v>118</v>
      </c>
      <c r="C46" s="353">
        <v>2000</v>
      </c>
      <c r="D46" s="353"/>
      <c r="E46" s="353"/>
      <c r="F46" s="353"/>
      <c r="G46" s="79">
        <f t="shared" si="6"/>
        <v>2000</v>
      </c>
      <c r="H46" s="79"/>
      <c r="I46" s="80">
        <v>2000</v>
      </c>
    </row>
    <row r="47" spans="1:9" x14ac:dyDescent="0.25">
      <c r="A47" s="77">
        <v>54313</v>
      </c>
      <c r="B47" s="78" t="s">
        <v>218</v>
      </c>
      <c r="C47" s="353">
        <v>1000</v>
      </c>
      <c r="D47" s="353"/>
      <c r="E47" s="353"/>
      <c r="F47" s="353">
        <f>+'[3]grupo por linea'!$AW$241</f>
        <v>216</v>
      </c>
      <c r="G47" s="79">
        <f t="shared" si="6"/>
        <v>1216</v>
      </c>
      <c r="H47" s="79"/>
      <c r="I47" s="80">
        <v>1216</v>
      </c>
    </row>
    <row r="48" spans="1:9" x14ac:dyDescent="0.25">
      <c r="A48" s="77">
        <v>54314</v>
      </c>
      <c r="B48" s="78" t="s">
        <v>120</v>
      </c>
      <c r="C48" s="353">
        <v>5000</v>
      </c>
      <c r="D48" s="353"/>
      <c r="E48" s="353"/>
      <c r="F48" s="353"/>
      <c r="G48" s="79">
        <f t="shared" si="6"/>
        <v>5000</v>
      </c>
      <c r="H48" s="79"/>
      <c r="I48" s="80">
        <v>5000</v>
      </c>
    </row>
    <row r="49" spans="1:9" x14ac:dyDescent="0.25">
      <c r="A49" s="77">
        <v>54316</v>
      </c>
      <c r="B49" s="78" t="s">
        <v>121</v>
      </c>
      <c r="C49" s="353">
        <v>1500</v>
      </c>
      <c r="D49" s="353"/>
      <c r="E49" s="353"/>
      <c r="F49" s="353">
        <v>4500</v>
      </c>
      <c r="G49" s="79">
        <f t="shared" si="6"/>
        <v>6000</v>
      </c>
      <c r="H49" s="79"/>
      <c r="I49" s="80">
        <v>6000</v>
      </c>
    </row>
    <row r="50" spans="1:9" x14ac:dyDescent="0.25">
      <c r="A50" s="77">
        <v>54317</v>
      </c>
      <c r="B50" s="78" t="s">
        <v>122</v>
      </c>
      <c r="C50" s="353">
        <v>3500</v>
      </c>
      <c r="D50" s="353">
        <v>3500</v>
      </c>
      <c r="E50" s="353"/>
      <c r="F50" s="353">
        <v>1500</v>
      </c>
      <c r="G50" s="79">
        <f t="shared" si="6"/>
        <v>8500</v>
      </c>
      <c r="H50" s="79"/>
      <c r="I50" s="80">
        <v>8500</v>
      </c>
    </row>
    <row r="51" spans="1:9" x14ac:dyDescent="0.25">
      <c r="A51" s="77">
        <v>54399</v>
      </c>
      <c r="B51" s="78" t="s">
        <v>219</v>
      </c>
      <c r="C51" s="353">
        <v>5000</v>
      </c>
      <c r="D51" s="353">
        <v>5000</v>
      </c>
      <c r="E51" s="353"/>
      <c r="F51" s="353">
        <v>5000</v>
      </c>
      <c r="G51" s="79">
        <f t="shared" si="6"/>
        <v>15000</v>
      </c>
      <c r="H51" s="79"/>
      <c r="I51" s="80">
        <v>15000</v>
      </c>
    </row>
    <row r="52" spans="1:9" x14ac:dyDescent="0.25">
      <c r="A52" s="129">
        <v>544</v>
      </c>
      <c r="B52" s="128" t="s">
        <v>124</v>
      </c>
      <c r="C52" s="179">
        <f t="shared" ref="C52:I52" si="7">SUM(C53:C56)</f>
        <v>0</v>
      </c>
      <c r="D52" s="179">
        <f t="shared" si="7"/>
        <v>0</v>
      </c>
      <c r="E52" s="179">
        <f t="shared" si="7"/>
        <v>0</v>
      </c>
      <c r="F52" s="179">
        <f t="shared" si="7"/>
        <v>1000</v>
      </c>
      <c r="G52" s="179">
        <f t="shared" si="7"/>
        <v>1000</v>
      </c>
      <c r="H52" s="179">
        <f t="shared" si="7"/>
        <v>0</v>
      </c>
      <c r="I52" s="186">
        <f t="shared" si="7"/>
        <v>1000</v>
      </c>
    </row>
    <row r="53" spans="1:9" x14ac:dyDescent="0.25">
      <c r="A53" s="77">
        <v>54401</v>
      </c>
      <c r="B53" s="78" t="s">
        <v>220</v>
      </c>
      <c r="C53" s="79"/>
      <c r="D53" s="79"/>
      <c r="E53" s="79"/>
      <c r="F53" s="79"/>
      <c r="G53" s="184">
        <f>SUM(C53:F53)</f>
        <v>0</v>
      </c>
      <c r="H53" s="79"/>
      <c r="I53" s="80"/>
    </row>
    <row r="54" spans="1:9" x14ac:dyDescent="0.25">
      <c r="A54" s="77">
        <v>54402</v>
      </c>
      <c r="B54" s="78" t="s">
        <v>221</v>
      </c>
      <c r="C54" s="79"/>
      <c r="D54" s="79"/>
      <c r="E54" s="79"/>
      <c r="F54" s="79"/>
      <c r="G54" s="184">
        <f>SUM(C54:F54)</f>
        <v>0</v>
      </c>
      <c r="H54" s="79"/>
      <c r="I54" s="80"/>
    </row>
    <row r="55" spans="1:9" x14ac:dyDescent="0.25">
      <c r="A55" s="77">
        <v>54403</v>
      </c>
      <c r="B55" s="78" t="s">
        <v>125</v>
      </c>
      <c r="C55" s="79"/>
      <c r="D55" s="79">
        <v>0</v>
      </c>
      <c r="E55" s="79"/>
      <c r="F55" s="79">
        <v>1000</v>
      </c>
      <c r="G55" s="184">
        <f>SUM(C55:F55)</f>
        <v>1000</v>
      </c>
      <c r="H55" s="79"/>
      <c r="I55" s="80">
        <v>1000</v>
      </c>
    </row>
    <row r="56" spans="1:9" x14ac:dyDescent="0.25">
      <c r="A56" s="77">
        <v>54404</v>
      </c>
      <c r="B56" s="78" t="s">
        <v>222</v>
      </c>
      <c r="C56" s="79"/>
      <c r="D56" s="79"/>
      <c r="E56" s="79"/>
      <c r="F56" s="79"/>
      <c r="G56" s="184">
        <f>SUM(C56:F56)</f>
        <v>0</v>
      </c>
      <c r="H56" s="79"/>
      <c r="I56" s="80"/>
    </row>
    <row r="57" spans="1:9" x14ac:dyDescent="0.25">
      <c r="A57" s="129">
        <v>545</v>
      </c>
      <c r="B57" s="128" t="s">
        <v>223</v>
      </c>
      <c r="C57" s="179">
        <f>SUM(C58:C64)</f>
        <v>7500</v>
      </c>
      <c r="D57" s="179">
        <f>SUM(D58:D64)</f>
        <v>0</v>
      </c>
      <c r="E57" s="179">
        <f>SUM(E58:E64)</f>
        <v>0</v>
      </c>
      <c r="F57" s="179"/>
      <c r="G57" s="179">
        <f>SUM(G58:G64)</f>
        <v>7500</v>
      </c>
      <c r="H57" s="179">
        <f>SUM(H58:H64)</f>
        <v>0</v>
      </c>
      <c r="I57" s="186">
        <f>SUM(I58:I64)</f>
        <v>7500</v>
      </c>
    </row>
    <row r="58" spans="1:9" x14ac:dyDescent="0.25">
      <c r="A58" s="77">
        <v>54501</v>
      </c>
      <c r="B58" s="78" t="s">
        <v>224</v>
      </c>
      <c r="C58" s="79"/>
      <c r="D58" s="79"/>
      <c r="E58" s="79"/>
      <c r="F58" s="79"/>
      <c r="G58" s="79">
        <f t="shared" ref="G58:G64" si="8">SUM(C58:F58)</f>
        <v>0</v>
      </c>
      <c r="H58" s="79"/>
      <c r="I58" s="80"/>
    </row>
    <row r="59" spans="1:9" x14ac:dyDescent="0.25">
      <c r="A59" s="77">
        <v>54503</v>
      </c>
      <c r="B59" s="78" t="s">
        <v>127</v>
      </c>
      <c r="C59" s="79">
        <v>500</v>
      </c>
      <c r="D59" s="79"/>
      <c r="E59" s="79"/>
      <c r="F59" s="79"/>
      <c r="G59" s="79">
        <f t="shared" si="8"/>
        <v>500</v>
      </c>
      <c r="H59" s="79"/>
      <c r="I59" s="80">
        <v>500</v>
      </c>
    </row>
    <row r="60" spans="1:9" x14ac:dyDescent="0.25">
      <c r="A60" s="77">
        <v>54504</v>
      </c>
      <c r="B60" s="78" t="s">
        <v>128</v>
      </c>
      <c r="C60" s="79">
        <v>5000</v>
      </c>
      <c r="D60" s="79"/>
      <c r="E60" s="79"/>
      <c r="F60" s="79"/>
      <c r="G60" s="79">
        <f t="shared" si="8"/>
        <v>5000</v>
      </c>
      <c r="H60" s="79"/>
      <c r="I60" s="80">
        <v>5000</v>
      </c>
    </row>
    <row r="61" spans="1:9" x14ac:dyDescent="0.25">
      <c r="A61" s="77">
        <v>54505</v>
      </c>
      <c r="B61" s="78" t="s">
        <v>225</v>
      </c>
      <c r="C61" s="79">
        <v>0</v>
      </c>
      <c r="D61" s="79"/>
      <c r="E61" s="79"/>
      <c r="F61" s="79"/>
      <c r="G61" s="79">
        <f t="shared" si="8"/>
        <v>0</v>
      </c>
      <c r="H61" s="79"/>
      <c r="I61" s="80"/>
    </row>
    <row r="62" spans="1:9" x14ac:dyDescent="0.25">
      <c r="A62" s="77">
        <v>54507</v>
      </c>
      <c r="B62" s="78" t="s">
        <v>226</v>
      </c>
      <c r="C62" s="79"/>
      <c r="D62" s="79"/>
      <c r="E62" s="79"/>
      <c r="F62" s="79"/>
      <c r="G62" s="79">
        <f t="shared" si="8"/>
        <v>0</v>
      </c>
      <c r="H62" s="79"/>
      <c r="I62" s="80"/>
    </row>
    <row r="63" spans="1:9" x14ac:dyDescent="0.25">
      <c r="A63" s="77">
        <v>54508</v>
      </c>
      <c r="B63" s="78" t="s">
        <v>227</v>
      </c>
      <c r="C63" s="79"/>
      <c r="D63" s="79"/>
      <c r="E63" s="79"/>
      <c r="F63" s="79"/>
      <c r="G63" s="79">
        <f t="shared" si="8"/>
        <v>0</v>
      </c>
      <c r="H63" s="79"/>
      <c r="I63" s="80"/>
    </row>
    <row r="64" spans="1:9" x14ac:dyDescent="0.25">
      <c r="A64" s="77">
        <v>54599</v>
      </c>
      <c r="B64" s="78" t="s">
        <v>228</v>
      </c>
      <c r="C64" s="79">
        <v>2000</v>
      </c>
      <c r="D64" s="79"/>
      <c r="E64" s="79"/>
      <c r="F64" s="79"/>
      <c r="G64" s="79">
        <f t="shared" si="8"/>
        <v>2000</v>
      </c>
      <c r="H64" s="79"/>
      <c r="I64" s="80">
        <v>2000</v>
      </c>
    </row>
    <row r="65" spans="1:9" x14ac:dyDescent="0.25">
      <c r="A65" s="129">
        <v>546</v>
      </c>
      <c r="B65" s="128" t="s">
        <v>229</v>
      </c>
      <c r="C65" s="179">
        <f>SUM(C66)</f>
        <v>0</v>
      </c>
      <c r="D65" s="179">
        <f>SUM(D66)</f>
        <v>0</v>
      </c>
      <c r="E65" s="179">
        <f>SUM(E66)</f>
        <v>0</v>
      </c>
      <c r="F65" s="179">
        <f>SUM(F66+F67)</f>
        <v>0</v>
      </c>
      <c r="G65" s="179">
        <f>SUM(G66+G67)</f>
        <v>0</v>
      </c>
      <c r="H65" s="179">
        <f>SUM(H66)</f>
        <v>0</v>
      </c>
      <c r="I65" s="186">
        <f>+I66+I67</f>
        <v>0</v>
      </c>
    </row>
    <row r="66" spans="1:9" x14ac:dyDescent="0.25">
      <c r="A66" s="77">
        <v>54602</v>
      </c>
      <c r="B66" s="78" t="s">
        <v>585</v>
      </c>
      <c r="C66" s="79">
        <v>0</v>
      </c>
      <c r="D66" s="79">
        <v>0</v>
      </c>
      <c r="E66" s="79">
        <v>0</v>
      </c>
      <c r="F66" s="79"/>
      <c r="G66" s="79">
        <f>SUM(C66:F66)</f>
        <v>0</v>
      </c>
      <c r="H66" s="79"/>
      <c r="I66" s="80"/>
    </row>
    <row r="67" spans="1:9" x14ac:dyDescent="0.25">
      <c r="A67" s="77">
        <v>54603</v>
      </c>
      <c r="B67" s="78" t="s">
        <v>230</v>
      </c>
      <c r="C67" s="79"/>
      <c r="D67" s="79"/>
      <c r="E67" s="79"/>
      <c r="F67" s="79"/>
      <c r="G67" s="79">
        <f>SUM(C67:F67)</f>
        <v>0</v>
      </c>
      <c r="H67" s="79"/>
      <c r="I67" s="80"/>
    </row>
    <row r="68" spans="1:9" x14ac:dyDescent="0.25">
      <c r="A68" s="129">
        <v>55</v>
      </c>
      <c r="B68" s="128" t="s">
        <v>129</v>
      </c>
      <c r="C68" s="179">
        <f t="shared" ref="C68:I68" si="9">+C69+C74+C78</f>
        <v>0</v>
      </c>
      <c r="D68" s="179">
        <f t="shared" si="9"/>
        <v>19145.48</v>
      </c>
      <c r="E68" s="179">
        <f t="shared" si="9"/>
        <v>0</v>
      </c>
      <c r="F68" s="179">
        <f t="shared" si="9"/>
        <v>0</v>
      </c>
      <c r="G68" s="179">
        <f t="shared" si="9"/>
        <v>19145.48</v>
      </c>
      <c r="H68" s="179">
        <f t="shared" si="9"/>
        <v>200</v>
      </c>
      <c r="I68" s="186">
        <f t="shared" si="9"/>
        <v>18945.48</v>
      </c>
    </row>
    <row r="69" spans="1:9" x14ac:dyDescent="0.25">
      <c r="A69" s="129">
        <v>553</v>
      </c>
      <c r="B69" s="128" t="s">
        <v>231</v>
      </c>
      <c r="C69" s="179">
        <f t="shared" ref="C69:I69" si="10">SUM(C70:C73)</f>
        <v>0</v>
      </c>
      <c r="D69" s="179">
        <f t="shared" si="10"/>
        <v>0</v>
      </c>
      <c r="E69" s="179">
        <f t="shared" si="10"/>
        <v>0</v>
      </c>
      <c r="F69" s="179">
        <f t="shared" si="10"/>
        <v>0</v>
      </c>
      <c r="G69" s="179">
        <f t="shared" si="10"/>
        <v>0</v>
      </c>
      <c r="H69" s="179">
        <f t="shared" si="10"/>
        <v>0</v>
      </c>
      <c r="I69" s="186">
        <f t="shared" si="10"/>
        <v>0</v>
      </c>
    </row>
    <row r="70" spans="1:9" x14ac:dyDescent="0.25">
      <c r="A70" s="77">
        <v>55302</v>
      </c>
      <c r="B70" s="78" t="s">
        <v>232</v>
      </c>
      <c r="C70" s="79"/>
      <c r="D70" s="79"/>
      <c r="E70" s="79"/>
      <c r="F70" s="79"/>
      <c r="G70" s="79">
        <f>SUM(C70:F70)</f>
        <v>0</v>
      </c>
      <c r="H70" s="79">
        <f>+G70</f>
        <v>0</v>
      </c>
      <c r="I70" s="80"/>
    </row>
    <row r="71" spans="1:9" x14ac:dyDescent="0.25">
      <c r="A71" s="77">
        <v>55303</v>
      </c>
      <c r="B71" s="78" t="s">
        <v>233</v>
      </c>
      <c r="C71" s="79"/>
      <c r="D71" s="79"/>
      <c r="E71" s="79"/>
      <c r="F71" s="79"/>
      <c r="G71" s="79">
        <f>SUM(C71:F71)</f>
        <v>0</v>
      </c>
      <c r="H71" s="79">
        <f>+G71</f>
        <v>0</v>
      </c>
      <c r="I71" s="80"/>
    </row>
    <row r="72" spans="1:9" x14ac:dyDescent="0.25">
      <c r="A72" s="77">
        <v>55304</v>
      </c>
      <c r="B72" s="78" t="s">
        <v>63</v>
      </c>
      <c r="C72" s="79"/>
      <c r="D72" s="79"/>
      <c r="E72" s="79"/>
      <c r="F72" s="79"/>
      <c r="G72" s="79">
        <f>SUM(C72:F72)</f>
        <v>0</v>
      </c>
      <c r="H72" s="79">
        <f>+G72</f>
        <v>0</v>
      </c>
      <c r="I72" s="80"/>
    </row>
    <row r="73" spans="1:9" x14ac:dyDescent="0.25">
      <c r="A73" s="77">
        <v>55308</v>
      </c>
      <c r="B73" s="78" t="s">
        <v>234</v>
      </c>
      <c r="C73" s="79"/>
      <c r="D73" s="79"/>
      <c r="E73" s="79"/>
      <c r="F73" s="79"/>
      <c r="G73" s="79"/>
      <c r="H73" s="79"/>
      <c r="I73" s="80"/>
    </row>
    <row r="74" spans="1:9" x14ac:dyDescent="0.25">
      <c r="A74" s="129">
        <v>556</v>
      </c>
      <c r="B74" s="128" t="s">
        <v>235</v>
      </c>
      <c r="C74" s="179">
        <f t="shared" ref="C74:I74" si="11">SUM(C75:C77)</f>
        <v>0</v>
      </c>
      <c r="D74" s="179">
        <f t="shared" si="11"/>
        <v>18645.48</v>
      </c>
      <c r="E74" s="179">
        <f t="shared" si="11"/>
        <v>0</v>
      </c>
      <c r="F74" s="179">
        <f t="shared" si="11"/>
        <v>0</v>
      </c>
      <c r="G74" s="179">
        <f t="shared" si="11"/>
        <v>18645.48</v>
      </c>
      <c r="H74" s="179">
        <f t="shared" si="11"/>
        <v>200</v>
      </c>
      <c r="I74" s="186">
        <f t="shared" si="11"/>
        <v>18445.48</v>
      </c>
    </row>
    <row r="75" spans="1:9" x14ac:dyDescent="0.25">
      <c r="A75" s="77">
        <v>55601</v>
      </c>
      <c r="B75" s="78" t="s">
        <v>236</v>
      </c>
      <c r="C75" s="79"/>
      <c r="D75" s="79">
        <v>12000</v>
      </c>
      <c r="E75" s="79"/>
      <c r="F75" s="79"/>
      <c r="G75" s="79">
        <f>SUM(C75:F75)</f>
        <v>12000</v>
      </c>
      <c r="H75" s="79"/>
      <c r="I75" s="80">
        <v>12000</v>
      </c>
    </row>
    <row r="76" spans="1:9" x14ac:dyDescent="0.25">
      <c r="A76" s="77">
        <v>55602</v>
      </c>
      <c r="B76" s="78" t="s">
        <v>134</v>
      </c>
      <c r="C76" s="79"/>
      <c r="D76" s="79">
        <v>6000</v>
      </c>
      <c r="E76" s="79"/>
      <c r="F76" s="79"/>
      <c r="G76" s="79">
        <f>SUM(C76:F76)</f>
        <v>6000</v>
      </c>
      <c r="H76" s="79"/>
      <c r="I76" s="80">
        <v>6000</v>
      </c>
    </row>
    <row r="77" spans="1:9" x14ac:dyDescent="0.25">
      <c r="A77" s="77">
        <v>55603</v>
      </c>
      <c r="B77" s="78" t="s">
        <v>237</v>
      </c>
      <c r="C77" s="79"/>
      <c r="D77" s="79">
        <v>645.48</v>
      </c>
      <c r="E77" s="79"/>
      <c r="F77" s="79"/>
      <c r="G77" s="79">
        <v>645.48</v>
      </c>
      <c r="H77" s="79">
        <v>200</v>
      </c>
      <c r="I77" s="80">
        <v>445.48</v>
      </c>
    </row>
    <row r="78" spans="1:9" x14ac:dyDescent="0.25">
      <c r="A78" s="129">
        <v>557</v>
      </c>
      <c r="B78" s="128" t="s">
        <v>136</v>
      </c>
      <c r="C78" s="179">
        <f t="shared" ref="C78:I78" si="12">SUM(C79:C81)</f>
        <v>0</v>
      </c>
      <c r="D78" s="179">
        <f t="shared" si="12"/>
        <v>500</v>
      </c>
      <c r="E78" s="179">
        <f t="shared" si="12"/>
        <v>0</v>
      </c>
      <c r="F78" s="179">
        <f t="shared" si="12"/>
        <v>0</v>
      </c>
      <c r="G78" s="179">
        <f t="shared" si="12"/>
        <v>500</v>
      </c>
      <c r="H78" s="179">
        <f t="shared" si="12"/>
        <v>0</v>
      </c>
      <c r="I78" s="186">
        <f t="shared" si="12"/>
        <v>500</v>
      </c>
    </row>
    <row r="79" spans="1:9" x14ac:dyDescent="0.25">
      <c r="A79" s="77">
        <v>55701</v>
      </c>
      <c r="B79" s="78" t="s">
        <v>238</v>
      </c>
      <c r="C79" s="79"/>
      <c r="D79" s="79"/>
      <c r="E79" s="79"/>
      <c r="F79" s="79"/>
      <c r="G79" s="79">
        <f>SUM(C79:F79)</f>
        <v>0</v>
      </c>
      <c r="H79" s="79"/>
      <c r="I79" s="80"/>
    </row>
    <row r="80" spans="1:9" x14ac:dyDescent="0.25">
      <c r="A80" s="77">
        <v>55702</v>
      </c>
      <c r="B80" s="78" t="s">
        <v>239</v>
      </c>
      <c r="C80" s="79"/>
      <c r="D80" s="79"/>
      <c r="E80" s="79"/>
      <c r="F80" s="79"/>
      <c r="G80" s="79">
        <f>SUM(C80:F80)</f>
        <v>0</v>
      </c>
      <c r="H80" s="79"/>
      <c r="I80" s="80"/>
    </row>
    <row r="81" spans="1:9" x14ac:dyDescent="0.25">
      <c r="A81" s="77">
        <v>55799</v>
      </c>
      <c r="B81" s="78" t="s">
        <v>137</v>
      </c>
      <c r="C81" s="79"/>
      <c r="D81" s="79">
        <v>500</v>
      </c>
      <c r="E81" s="79"/>
      <c r="F81" s="79"/>
      <c r="G81" s="79">
        <f>SUM(C81:F81)</f>
        <v>500</v>
      </c>
      <c r="H81" s="79"/>
      <c r="I81" s="80">
        <v>500</v>
      </c>
    </row>
    <row r="82" spans="1:9" x14ac:dyDescent="0.25">
      <c r="A82" s="77"/>
      <c r="B82" s="78"/>
      <c r="C82" s="79"/>
      <c r="D82" s="79"/>
      <c r="E82" s="79"/>
      <c r="F82" s="79"/>
      <c r="G82" s="79" t="s">
        <v>8</v>
      </c>
      <c r="H82" s="79"/>
      <c r="I82" s="80"/>
    </row>
    <row r="83" spans="1:9" x14ac:dyDescent="0.25">
      <c r="A83" s="129">
        <v>56</v>
      </c>
      <c r="B83" s="128" t="s">
        <v>57</v>
      </c>
      <c r="C83" s="179">
        <f t="shared" ref="C83:I83" si="13">+C84+C87</f>
        <v>7000</v>
      </c>
      <c r="D83" s="179">
        <f t="shared" si="13"/>
        <v>11314.16</v>
      </c>
      <c r="E83" s="179">
        <f t="shared" si="13"/>
        <v>0</v>
      </c>
      <c r="F83" s="179">
        <f t="shared" si="13"/>
        <v>0</v>
      </c>
      <c r="G83" s="179">
        <f t="shared" si="13"/>
        <v>18314.16</v>
      </c>
      <c r="H83" s="179">
        <f t="shared" si="13"/>
        <v>11314.16</v>
      </c>
      <c r="I83" s="186">
        <f t="shared" si="13"/>
        <v>7000</v>
      </c>
    </row>
    <row r="84" spans="1:9" x14ac:dyDescent="0.25">
      <c r="A84" s="129">
        <v>562</v>
      </c>
      <c r="B84" s="128" t="s">
        <v>138</v>
      </c>
      <c r="C84" s="179">
        <f t="shared" ref="C84:I84" si="14">SUM(C85)</f>
        <v>0</v>
      </c>
      <c r="D84" s="179">
        <f t="shared" si="14"/>
        <v>11314.16</v>
      </c>
      <c r="E84" s="179">
        <f t="shared" si="14"/>
        <v>0</v>
      </c>
      <c r="F84" s="179">
        <f t="shared" si="14"/>
        <v>0</v>
      </c>
      <c r="G84" s="179">
        <f t="shared" si="14"/>
        <v>11314.16</v>
      </c>
      <c r="H84" s="179">
        <f t="shared" si="14"/>
        <v>11314.16</v>
      </c>
      <c r="I84" s="186">
        <f t="shared" si="14"/>
        <v>0</v>
      </c>
    </row>
    <row r="85" spans="1:9" x14ac:dyDescent="0.25">
      <c r="A85" s="77">
        <v>56201</v>
      </c>
      <c r="B85" s="78" t="s">
        <v>240</v>
      </c>
      <c r="C85" s="79"/>
      <c r="D85" s="79">
        <v>11314.16</v>
      </c>
      <c r="E85" s="79"/>
      <c r="F85" s="79"/>
      <c r="G85" s="79">
        <f>SUM(C85:F85)</f>
        <v>11314.16</v>
      </c>
      <c r="H85" s="79">
        <v>11314.16</v>
      </c>
      <c r="I85" s="80"/>
    </row>
    <row r="86" spans="1:9" x14ac:dyDescent="0.25">
      <c r="A86" s="77"/>
      <c r="B86" s="78"/>
      <c r="C86" s="79"/>
      <c r="D86" s="79"/>
      <c r="E86" s="79"/>
      <c r="F86" s="79"/>
      <c r="G86" s="79"/>
      <c r="H86" s="79"/>
      <c r="I86" s="80"/>
    </row>
    <row r="87" spans="1:9" x14ac:dyDescent="0.25">
      <c r="A87" s="129">
        <v>563</v>
      </c>
      <c r="B87" s="128" t="s">
        <v>139</v>
      </c>
      <c r="C87" s="179">
        <f t="shared" ref="C87:I87" si="15">SUM(C88:C90)</f>
        <v>7000</v>
      </c>
      <c r="D87" s="179">
        <f t="shared" si="15"/>
        <v>0</v>
      </c>
      <c r="E87" s="179">
        <f t="shared" si="15"/>
        <v>0</v>
      </c>
      <c r="F87" s="179">
        <f t="shared" si="15"/>
        <v>0</v>
      </c>
      <c r="G87" s="179">
        <f t="shared" si="15"/>
        <v>7000</v>
      </c>
      <c r="H87" s="179">
        <f t="shared" si="15"/>
        <v>0</v>
      </c>
      <c r="I87" s="186">
        <f t="shared" si="15"/>
        <v>7000</v>
      </c>
    </row>
    <row r="88" spans="1:9" x14ac:dyDescent="0.25">
      <c r="A88" s="77">
        <v>56303</v>
      </c>
      <c r="B88" s="78" t="s">
        <v>241</v>
      </c>
      <c r="C88" s="79">
        <v>4000</v>
      </c>
      <c r="D88" s="79"/>
      <c r="E88" s="79"/>
      <c r="F88" s="79"/>
      <c r="G88" s="79">
        <f>SUM(C88:F88)</f>
        <v>4000</v>
      </c>
      <c r="H88" s="79"/>
      <c r="I88" s="80">
        <v>4000</v>
      </c>
    </row>
    <row r="89" spans="1:9" x14ac:dyDescent="0.25">
      <c r="A89" s="77">
        <v>56304</v>
      </c>
      <c r="B89" s="78" t="s">
        <v>141</v>
      </c>
      <c r="C89" s="79">
        <v>3000</v>
      </c>
      <c r="D89" s="79"/>
      <c r="E89" s="79"/>
      <c r="F89" s="79"/>
      <c r="G89" s="79">
        <f>SUM(C89:F89)</f>
        <v>3000</v>
      </c>
      <c r="H89" s="79"/>
      <c r="I89" s="80">
        <v>3000</v>
      </c>
    </row>
    <row r="90" spans="1:9" ht="15.75" thickBot="1" x14ac:dyDescent="0.3">
      <c r="A90" s="81">
        <v>56305</v>
      </c>
      <c r="B90" s="82" t="s">
        <v>142</v>
      </c>
      <c r="C90" s="83"/>
      <c r="D90" s="83"/>
      <c r="E90" s="83"/>
      <c r="F90" s="83"/>
      <c r="G90" s="83"/>
      <c r="H90" s="83"/>
      <c r="I90" s="84"/>
    </row>
    <row r="91" spans="1:9" ht="15.75" thickBot="1" x14ac:dyDescent="0.3">
      <c r="A91" s="85"/>
      <c r="B91" s="104" t="s">
        <v>1</v>
      </c>
      <c r="C91" s="182">
        <f t="shared" ref="C91:I91" si="16">+C9+C68+C83</f>
        <v>63214.9</v>
      </c>
      <c r="D91" s="182">
        <f t="shared" si="16"/>
        <v>438474.60999999993</v>
      </c>
      <c r="E91" s="182">
        <f t="shared" si="16"/>
        <v>4691.04</v>
      </c>
      <c r="F91" s="182">
        <f t="shared" si="16"/>
        <v>160780.764</v>
      </c>
      <c r="G91" s="182">
        <f t="shared" si="16"/>
        <v>667161.31400000001</v>
      </c>
      <c r="H91" s="182">
        <f t="shared" si="16"/>
        <v>233101.4</v>
      </c>
      <c r="I91" s="183">
        <f t="shared" si="16"/>
        <v>434059.91399999999</v>
      </c>
    </row>
    <row r="92" spans="1:9" x14ac:dyDescent="0.25">
      <c r="A92" s="65"/>
      <c r="B92" s="65"/>
      <c r="C92" s="65"/>
      <c r="D92" s="65"/>
      <c r="E92" s="65"/>
      <c r="F92" s="65"/>
      <c r="G92" s="65"/>
      <c r="H92" s="65"/>
      <c r="I92" s="65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abSelected="1" topLeftCell="A3" zoomScaleNormal="10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L132" sqref="L132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85546875" bestFit="1" customWidth="1"/>
    <col min="15" max="15" width="11.42578125" bestFit="1" customWidth="1"/>
    <col min="16" max="16" width="8.42578125" bestFit="1" customWidth="1"/>
    <col min="17" max="17" width="10.7109375" customWidth="1"/>
    <col min="18" max="18" width="13.85546875" customWidth="1"/>
    <col min="19" max="19" width="0.140625" customWidth="1"/>
    <col min="20" max="20" width="7.5703125" hidden="1" customWidth="1"/>
    <col min="21" max="21" width="8.42578125" hidden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19.140625" hidden="1" customWidth="1"/>
    <col min="28" max="28" width="10.42578125" customWidth="1"/>
  </cols>
  <sheetData>
    <row r="1" spans="1:29" x14ac:dyDescent="0.25">
      <c r="A1" s="617" t="s">
        <v>650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</row>
    <row r="2" spans="1:29" ht="17.25" thickBot="1" x14ac:dyDescent="0.35">
      <c r="A2" s="616" t="s">
        <v>501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1"/>
    </row>
    <row r="3" spans="1:29" ht="17.25" thickBot="1" x14ac:dyDescent="0.35">
      <c r="A3" s="636" t="s">
        <v>172</v>
      </c>
      <c r="B3" s="638" t="s">
        <v>8</v>
      </c>
      <c r="C3" s="634" t="s">
        <v>425</v>
      </c>
      <c r="D3" s="635"/>
      <c r="E3" s="635"/>
      <c r="F3" s="635"/>
      <c r="G3" s="635"/>
      <c r="H3" s="635"/>
      <c r="I3" s="635"/>
      <c r="J3" s="635"/>
      <c r="K3" s="635"/>
      <c r="L3" s="332" t="s">
        <v>426</v>
      </c>
      <c r="M3" s="333" t="s">
        <v>635</v>
      </c>
      <c r="N3" s="629" t="s">
        <v>427</v>
      </c>
      <c r="O3" s="629"/>
      <c r="P3" s="629"/>
      <c r="Q3" s="629"/>
      <c r="R3" s="630"/>
      <c r="S3" s="628" t="s">
        <v>428</v>
      </c>
      <c r="T3" s="629"/>
      <c r="U3" s="630"/>
      <c r="V3" s="628" t="s">
        <v>429</v>
      </c>
      <c r="W3" s="629"/>
      <c r="X3" s="630"/>
      <c r="Y3" s="628" t="s">
        <v>430</v>
      </c>
      <c r="Z3" s="629"/>
      <c r="AA3" s="630"/>
      <c r="AB3" s="334"/>
      <c r="AC3" s="1"/>
    </row>
    <row r="4" spans="1:29" ht="17.25" thickBot="1" x14ac:dyDescent="0.35">
      <c r="A4" s="637"/>
      <c r="B4" s="639"/>
      <c r="C4" s="631" t="s">
        <v>681</v>
      </c>
      <c r="D4" s="632"/>
      <c r="E4" s="632"/>
      <c r="F4" s="632"/>
      <c r="G4" s="633"/>
      <c r="H4" s="632" t="s">
        <v>696</v>
      </c>
      <c r="I4" s="632"/>
      <c r="J4" s="632"/>
      <c r="K4" s="632"/>
      <c r="L4" s="335" t="s">
        <v>721</v>
      </c>
      <c r="M4" s="332" t="s">
        <v>640</v>
      </c>
      <c r="N4" s="632"/>
      <c r="O4" s="632"/>
      <c r="P4" s="632"/>
      <c r="Q4" s="632"/>
      <c r="R4" s="633"/>
      <c r="S4" s="634" t="s">
        <v>431</v>
      </c>
      <c r="T4" s="635"/>
      <c r="U4" s="336"/>
      <c r="V4" s="634" t="s">
        <v>431</v>
      </c>
      <c r="W4" s="635"/>
      <c r="X4" s="336"/>
      <c r="Y4" s="624" t="s">
        <v>431</v>
      </c>
      <c r="Z4" s="625"/>
      <c r="AA4" s="337"/>
      <c r="AB4" s="338"/>
      <c r="AC4" s="1"/>
    </row>
    <row r="5" spans="1:29" ht="17.25" thickBot="1" x14ac:dyDescent="0.35">
      <c r="A5" s="637"/>
      <c r="B5" s="639"/>
      <c r="C5" s="631" t="s">
        <v>432</v>
      </c>
      <c r="D5" s="632"/>
      <c r="E5" s="632"/>
      <c r="F5" s="632"/>
      <c r="G5" s="633"/>
      <c r="H5" s="334" t="s">
        <v>433</v>
      </c>
      <c r="I5" s="334" t="s">
        <v>434</v>
      </c>
      <c r="J5" s="339" t="s">
        <v>435</v>
      </c>
      <c r="K5" s="631" t="s">
        <v>244</v>
      </c>
      <c r="L5" s="341" t="s">
        <v>436</v>
      </c>
      <c r="M5" s="341" t="s">
        <v>599</v>
      </c>
      <c r="N5" s="621" t="s">
        <v>432</v>
      </c>
      <c r="O5" s="622"/>
      <c r="P5" s="622"/>
      <c r="Q5" s="622"/>
      <c r="R5" s="641"/>
      <c r="S5" s="334" t="s">
        <v>433</v>
      </c>
      <c r="T5" s="334" t="s">
        <v>437</v>
      </c>
      <c r="U5" s="618" t="s">
        <v>244</v>
      </c>
      <c r="V5" s="334" t="s">
        <v>433</v>
      </c>
      <c r="W5" s="334" t="s">
        <v>437</v>
      </c>
      <c r="X5" s="618" t="s">
        <v>244</v>
      </c>
      <c r="Y5" s="334" t="s">
        <v>433</v>
      </c>
      <c r="Z5" s="334" t="s">
        <v>437</v>
      </c>
      <c r="AA5" s="618" t="s">
        <v>244</v>
      </c>
      <c r="AB5" s="342"/>
      <c r="AC5" s="1"/>
    </row>
    <row r="6" spans="1:29" ht="17.25" thickBot="1" x14ac:dyDescent="0.35">
      <c r="A6" s="637"/>
      <c r="B6" s="639"/>
      <c r="C6" s="621" t="s">
        <v>439</v>
      </c>
      <c r="D6" s="622"/>
      <c r="E6" s="622"/>
      <c r="F6" s="622"/>
      <c r="G6" s="623"/>
      <c r="H6" s="338" t="s">
        <v>440</v>
      </c>
      <c r="I6" s="338" t="s">
        <v>440</v>
      </c>
      <c r="J6" s="343" t="s">
        <v>722</v>
      </c>
      <c r="K6" s="621"/>
      <c r="L6" s="340"/>
      <c r="M6" s="344"/>
      <c r="N6" s="624" t="s">
        <v>476</v>
      </c>
      <c r="O6" s="625"/>
      <c r="P6" s="625"/>
      <c r="Q6" s="625"/>
      <c r="R6" s="623"/>
      <c r="S6" s="338" t="s">
        <v>440</v>
      </c>
      <c r="T6" s="338" t="s">
        <v>441</v>
      </c>
      <c r="U6" s="619"/>
      <c r="V6" s="338" t="s">
        <v>440</v>
      </c>
      <c r="W6" s="338" t="s">
        <v>441</v>
      </c>
      <c r="X6" s="619"/>
      <c r="Y6" s="338" t="s">
        <v>440</v>
      </c>
      <c r="Z6" s="338" t="s">
        <v>441</v>
      </c>
      <c r="AA6" s="619"/>
      <c r="AB6" s="345"/>
      <c r="AC6" s="1"/>
    </row>
    <row r="7" spans="1:29" ht="16.5" x14ac:dyDescent="0.3">
      <c r="A7" s="637"/>
      <c r="B7" s="639"/>
      <c r="C7" s="334" t="s">
        <v>442</v>
      </c>
      <c r="D7" s="334" t="s">
        <v>443</v>
      </c>
      <c r="E7" s="334" t="s">
        <v>444</v>
      </c>
      <c r="F7" s="334" t="s">
        <v>468</v>
      </c>
      <c r="G7" s="626" t="s">
        <v>244</v>
      </c>
      <c r="H7" s="346" t="s">
        <v>606</v>
      </c>
      <c r="I7" s="346" t="s">
        <v>446</v>
      </c>
      <c r="J7" s="346" t="s">
        <v>447</v>
      </c>
      <c r="K7" s="621"/>
      <c r="L7" s="337" t="s">
        <v>598</v>
      </c>
      <c r="M7" s="337" t="s">
        <v>600</v>
      </c>
      <c r="N7" s="334" t="s">
        <v>442</v>
      </c>
      <c r="O7" s="334" t="s">
        <v>443</v>
      </c>
      <c r="P7" s="334" t="s">
        <v>444</v>
      </c>
      <c r="Q7" s="334" t="s">
        <v>468</v>
      </c>
      <c r="R7" s="626" t="s">
        <v>244</v>
      </c>
      <c r="S7" s="346" t="s">
        <v>593</v>
      </c>
      <c r="T7" s="346" t="s">
        <v>447</v>
      </c>
      <c r="U7" s="619"/>
      <c r="V7" s="346" t="s">
        <v>445</v>
      </c>
      <c r="W7" s="346" t="s">
        <v>446</v>
      </c>
      <c r="X7" s="619"/>
      <c r="Y7" s="346" t="s">
        <v>445</v>
      </c>
      <c r="Z7" s="346" t="s">
        <v>447</v>
      </c>
      <c r="AA7" s="619"/>
      <c r="AB7" s="345" t="s">
        <v>438</v>
      </c>
      <c r="AC7" s="1"/>
    </row>
    <row r="8" spans="1:29" ht="17.25" thickBot="1" x14ac:dyDescent="0.35">
      <c r="A8" s="637"/>
      <c r="B8" s="640"/>
      <c r="C8" s="338" t="s">
        <v>448</v>
      </c>
      <c r="D8" s="338" t="s">
        <v>469</v>
      </c>
      <c r="E8" s="338" t="s">
        <v>450</v>
      </c>
      <c r="F8" s="338" t="s">
        <v>450</v>
      </c>
      <c r="G8" s="627"/>
      <c r="H8" s="338" t="s">
        <v>464</v>
      </c>
      <c r="I8" s="338" t="s">
        <v>465</v>
      </c>
      <c r="J8" s="338" t="s">
        <v>451</v>
      </c>
      <c r="K8" s="621"/>
      <c r="L8" s="338" t="s">
        <v>607</v>
      </c>
      <c r="M8" s="338" t="s">
        <v>608</v>
      </c>
      <c r="N8" s="338" t="s">
        <v>448</v>
      </c>
      <c r="O8" s="338" t="s">
        <v>449</v>
      </c>
      <c r="P8" s="338" t="s">
        <v>450</v>
      </c>
      <c r="Q8" s="338" t="s">
        <v>450</v>
      </c>
      <c r="R8" s="627"/>
      <c r="S8" s="338" t="s">
        <v>466</v>
      </c>
      <c r="T8" s="338" t="s">
        <v>467</v>
      </c>
      <c r="U8" s="620"/>
      <c r="V8" s="338" t="s">
        <v>466</v>
      </c>
      <c r="W8" s="338" t="s">
        <v>467</v>
      </c>
      <c r="X8" s="620"/>
      <c r="Y8" s="338" t="s">
        <v>466</v>
      </c>
      <c r="Z8" s="338" t="s">
        <v>467</v>
      </c>
      <c r="AA8" s="620"/>
      <c r="AB8" s="345" t="s">
        <v>1</v>
      </c>
      <c r="AC8" s="1"/>
    </row>
    <row r="9" spans="1:29" ht="17.25" thickBot="1" x14ac:dyDescent="0.35">
      <c r="A9" s="347">
        <v>51</v>
      </c>
      <c r="B9" s="447" t="s">
        <v>71</v>
      </c>
      <c r="C9" s="348">
        <f>+C10+C15+C17+C19+C21+C23+C26+C29</f>
        <v>0</v>
      </c>
      <c r="D9" s="348">
        <f>+D10+D15+D17+D19+D21+D23+D26+D29</f>
        <v>0</v>
      </c>
      <c r="E9" s="348">
        <f>+E10+E15+E17+E19+E21+E23+E26+E29</f>
        <v>0</v>
      </c>
      <c r="F9" s="348">
        <f>+F10+F15+F17+F19+F21+F23+F26+F29</f>
        <v>0</v>
      </c>
      <c r="G9" s="348">
        <f t="shared" ref="G9:G26" si="0">SUM(C9:F9)</f>
        <v>0</v>
      </c>
      <c r="H9" s="348"/>
      <c r="I9" s="348"/>
      <c r="J9" s="348"/>
      <c r="K9" s="348">
        <f t="shared" ref="K9:K40" si="1">+H9+I9+J9</f>
        <v>0</v>
      </c>
      <c r="L9" s="348"/>
      <c r="M9" s="348"/>
      <c r="N9" s="348">
        <f>+N10+N15+N17+N19+N21+N23+N26+N29</f>
        <v>346824.69</v>
      </c>
      <c r="O9" s="348">
        <f>+O10+O15+O17+O19+O21+O23+O26+O29</f>
        <v>226383.2</v>
      </c>
      <c r="P9" s="348">
        <f>+P10+P15+P17+P19+P21+P23+P26+P29</f>
        <v>73392.460000000006</v>
      </c>
      <c r="Q9" s="348">
        <f>+Q10+Q15+Q17+Q19+Q21+Q23+Q26+Q29</f>
        <v>1191351.4500000002</v>
      </c>
      <c r="R9" s="348">
        <f t="shared" ref="R9:R40" si="2">+N9+O9+P9+Q9</f>
        <v>1837951.8000000003</v>
      </c>
      <c r="S9" s="348"/>
      <c r="T9" s="348"/>
      <c r="U9" s="348"/>
      <c r="V9" s="348"/>
      <c r="W9" s="348"/>
      <c r="X9" s="348"/>
      <c r="Y9" s="348"/>
      <c r="Z9" s="348"/>
      <c r="AA9" s="348"/>
      <c r="AB9" s="349">
        <f t="shared" ref="AB9:AB30" si="3">+G9+K9+L9+M9+R9+U9+X9+AA9</f>
        <v>1837951.8000000003</v>
      </c>
      <c r="AC9" s="1"/>
    </row>
    <row r="10" spans="1:29" ht="17.25" thickBot="1" x14ac:dyDescent="0.35">
      <c r="A10" s="350">
        <v>511</v>
      </c>
      <c r="B10" s="448" t="s">
        <v>72</v>
      </c>
      <c r="C10" s="351">
        <f>SUM(C11:C14)</f>
        <v>0</v>
      </c>
      <c r="D10" s="351">
        <f>SUM(D11:D14)</f>
        <v>0</v>
      </c>
      <c r="E10" s="351">
        <f>SUM(E11:E14)</f>
        <v>0</v>
      </c>
      <c r="F10" s="351">
        <f>SUM(F11:F14)</f>
        <v>0</v>
      </c>
      <c r="G10" s="352">
        <f t="shared" si="0"/>
        <v>0</v>
      </c>
      <c r="H10" s="351">
        <f>SUM(H11:H14)</f>
        <v>0</v>
      </c>
      <c r="I10" s="351">
        <f>SUM(I11:I14)</f>
        <v>0</v>
      </c>
      <c r="J10" s="352"/>
      <c r="K10" s="352">
        <f t="shared" si="1"/>
        <v>0</v>
      </c>
      <c r="L10" s="352"/>
      <c r="M10" s="352"/>
      <c r="N10" s="352">
        <f>SUM(N11:N14)</f>
        <v>287246.03999999998</v>
      </c>
      <c r="O10" s="352">
        <f>SUM(O11:O14)</f>
        <v>186463.05000000002</v>
      </c>
      <c r="P10" s="352">
        <f>SUM(P11:P14)</f>
        <v>62177.939999999995</v>
      </c>
      <c r="Q10" s="352">
        <f>SUM(Q11:Q14)</f>
        <v>1016959.9500000001</v>
      </c>
      <c r="R10" s="352">
        <f t="shared" si="2"/>
        <v>1552846.98</v>
      </c>
      <c r="S10" s="352"/>
      <c r="T10" s="352"/>
      <c r="U10" s="353"/>
      <c r="V10" s="352"/>
      <c r="W10" s="352"/>
      <c r="X10" s="353"/>
      <c r="Y10" s="352"/>
      <c r="Z10" s="352"/>
      <c r="AA10" s="353"/>
      <c r="AB10" s="349">
        <f t="shared" si="3"/>
        <v>1552846.98</v>
      </c>
      <c r="AC10" s="1"/>
    </row>
    <row r="11" spans="1:29" ht="17.25" thickBot="1" x14ac:dyDescent="0.35">
      <c r="A11" s="354" t="s">
        <v>380</v>
      </c>
      <c r="B11" s="449" t="s">
        <v>73</v>
      </c>
      <c r="C11" s="353"/>
      <c r="D11" s="353"/>
      <c r="E11" s="353"/>
      <c r="F11" s="353"/>
      <c r="G11" s="352">
        <f t="shared" si="0"/>
        <v>0</v>
      </c>
      <c r="H11" s="353"/>
      <c r="I11" s="353"/>
      <c r="J11" s="353"/>
      <c r="K11" s="352">
        <f t="shared" si="1"/>
        <v>0</v>
      </c>
      <c r="L11" s="352"/>
      <c r="M11" s="352"/>
      <c r="N11" s="353">
        <v>133720.44</v>
      </c>
      <c r="O11" s="353">
        <v>164591.88</v>
      </c>
      <c r="P11" s="353">
        <v>54006.239999999998</v>
      </c>
      <c r="Q11" s="353">
        <v>867007.92</v>
      </c>
      <c r="R11" s="352">
        <f t="shared" si="2"/>
        <v>1219326.48</v>
      </c>
      <c r="S11" s="353"/>
      <c r="T11" s="353"/>
      <c r="U11" s="353"/>
      <c r="V11" s="353"/>
      <c r="W11" s="353"/>
      <c r="X11" s="353"/>
      <c r="Y11" s="353"/>
      <c r="Z11" s="353"/>
      <c r="AA11" s="353"/>
      <c r="AB11" s="349">
        <f t="shared" si="3"/>
        <v>1219326.48</v>
      </c>
      <c r="AC11" s="1"/>
    </row>
    <row r="12" spans="1:29" ht="17.25" thickBot="1" x14ac:dyDescent="0.35">
      <c r="A12" s="355">
        <v>51103</v>
      </c>
      <c r="B12" s="449" t="s">
        <v>74</v>
      </c>
      <c r="C12" s="353">
        <v>0</v>
      </c>
      <c r="D12" s="353">
        <v>0</v>
      </c>
      <c r="E12" s="353">
        <v>0</v>
      </c>
      <c r="F12" s="353">
        <v>0</v>
      </c>
      <c r="G12" s="352">
        <f t="shared" si="0"/>
        <v>0</v>
      </c>
      <c r="H12" s="353"/>
      <c r="I12" s="353"/>
      <c r="J12" s="353"/>
      <c r="K12" s="352">
        <f t="shared" si="1"/>
        <v>0</v>
      </c>
      <c r="L12" s="352"/>
      <c r="M12" s="352"/>
      <c r="N12" s="353">
        <v>5600</v>
      </c>
      <c r="O12" s="353">
        <v>8400</v>
      </c>
      <c r="P12" s="353">
        <v>3200</v>
      </c>
      <c r="Q12" s="353">
        <v>63600</v>
      </c>
      <c r="R12" s="352">
        <f t="shared" si="2"/>
        <v>80800</v>
      </c>
      <c r="S12" s="353"/>
      <c r="T12" s="353"/>
      <c r="U12" s="353"/>
      <c r="V12" s="353"/>
      <c r="W12" s="353"/>
      <c r="X12" s="353"/>
      <c r="Y12" s="353"/>
      <c r="Z12" s="353"/>
      <c r="AA12" s="353"/>
      <c r="AB12" s="349">
        <f t="shared" si="3"/>
        <v>80800</v>
      </c>
      <c r="AC12" s="1"/>
    </row>
    <row r="13" spans="1:29" ht="17.25" thickBot="1" x14ac:dyDescent="0.35">
      <c r="A13" s="354" t="s">
        <v>381</v>
      </c>
      <c r="B13" s="449" t="s">
        <v>75</v>
      </c>
      <c r="C13" s="353"/>
      <c r="D13" s="353">
        <v>0</v>
      </c>
      <c r="E13" s="353">
        <v>0</v>
      </c>
      <c r="F13" s="353">
        <v>0</v>
      </c>
      <c r="G13" s="352">
        <f t="shared" si="0"/>
        <v>0</v>
      </c>
      <c r="H13" s="353"/>
      <c r="I13" s="353"/>
      <c r="J13" s="353"/>
      <c r="K13" s="352">
        <f t="shared" si="1"/>
        <v>0</v>
      </c>
      <c r="L13" s="352"/>
      <c r="M13" s="352"/>
      <c r="N13" s="353">
        <v>136032</v>
      </c>
      <c r="O13" s="353">
        <v>0</v>
      </c>
      <c r="P13" s="353">
        <v>0</v>
      </c>
      <c r="Q13" s="353">
        <v>0</v>
      </c>
      <c r="R13" s="352">
        <f t="shared" si="2"/>
        <v>136032</v>
      </c>
      <c r="S13" s="353"/>
      <c r="T13" s="353"/>
      <c r="U13" s="353"/>
      <c r="V13" s="353"/>
      <c r="W13" s="353"/>
      <c r="X13" s="353"/>
      <c r="Y13" s="353"/>
      <c r="Z13" s="353"/>
      <c r="AA13" s="353"/>
      <c r="AB13" s="349">
        <f t="shared" si="3"/>
        <v>136032</v>
      </c>
      <c r="AC13" s="1"/>
    </row>
    <row r="14" spans="1:29" ht="17.25" thickBot="1" x14ac:dyDescent="0.35">
      <c r="A14" s="354" t="s">
        <v>412</v>
      </c>
      <c r="B14" s="449" t="s">
        <v>76</v>
      </c>
      <c r="C14" s="353">
        <v>0</v>
      </c>
      <c r="D14" s="353">
        <v>0</v>
      </c>
      <c r="E14" s="353">
        <v>0</v>
      </c>
      <c r="F14" s="353">
        <v>0</v>
      </c>
      <c r="G14" s="352">
        <f t="shared" si="0"/>
        <v>0</v>
      </c>
      <c r="H14" s="352"/>
      <c r="I14" s="352"/>
      <c r="J14" s="352"/>
      <c r="K14" s="352">
        <f t="shared" si="1"/>
        <v>0</v>
      </c>
      <c r="L14" s="352"/>
      <c r="M14" s="352"/>
      <c r="N14" s="353">
        <v>11893.6</v>
      </c>
      <c r="O14" s="353">
        <v>13471.17</v>
      </c>
      <c r="P14" s="353">
        <v>4971.7</v>
      </c>
      <c r="Q14" s="353">
        <v>86352.03</v>
      </c>
      <c r="R14" s="352">
        <f t="shared" si="2"/>
        <v>116688.5</v>
      </c>
      <c r="S14" s="353"/>
      <c r="T14" s="353"/>
      <c r="U14" s="353"/>
      <c r="V14" s="353"/>
      <c r="W14" s="353"/>
      <c r="X14" s="353"/>
      <c r="Y14" s="353"/>
      <c r="Z14" s="353"/>
      <c r="AA14" s="353"/>
      <c r="AB14" s="349">
        <f t="shared" si="3"/>
        <v>116688.5</v>
      </c>
      <c r="AC14" s="1"/>
    </row>
    <row r="15" spans="1:29" ht="17.25" thickBot="1" x14ac:dyDescent="0.35">
      <c r="A15" s="356" t="s">
        <v>382</v>
      </c>
      <c r="B15" s="450" t="s">
        <v>77</v>
      </c>
      <c r="C15" s="353"/>
      <c r="D15" s="353"/>
      <c r="E15" s="353"/>
      <c r="F15" s="353">
        <f>+F16</f>
        <v>0</v>
      </c>
      <c r="G15" s="352">
        <f t="shared" si="0"/>
        <v>0</v>
      </c>
      <c r="H15" s="353"/>
      <c r="I15" s="353"/>
      <c r="J15" s="353"/>
      <c r="K15" s="352">
        <f t="shared" si="1"/>
        <v>0</v>
      </c>
      <c r="L15" s="352"/>
      <c r="M15" s="352"/>
      <c r="N15" s="352">
        <f>N16</f>
        <v>0</v>
      </c>
      <c r="O15" s="352">
        <f>O16</f>
        <v>5000</v>
      </c>
      <c r="P15" s="352">
        <f>P16</f>
        <v>0</v>
      </c>
      <c r="Q15" s="352">
        <f>Q16</f>
        <v>20000</v>
      </c>
      <c r="R15" s="352">
        <f t="shared" si="2"/>
        <v>25000</v>
      </c>
      <c r="S15" s="353"/>
      <c r="T15" s="353"/>
      <c r="U15" s="353"/>
      <c r="V15" s="353"/>
      <c r="W15" s="353"/>
      <c r="X15" s="353"/>
      <c r="Y15" s="353"/>
      <c r="Z15" s="353"/>
      <c r="AA15" s="353"/>
      <c r="AB15" s="349">
        <f t="shared" si="3"/>
        <v>25000</v>
      </c>
      <c r="AC15" s="1"/>
    </row>
    <row r="16" spans="1:29" ht="17.25" thickBot="1" x14ac:dyDescent="0.35">
      <c r="A16" s="354" t="s">
        <v>383</v>
      </c>
      <c r="B16" s="449" t="s">
        <v>73</v>
      </c>
      <c r="C16" s="353"/>
      <c r="D16" s="353"/>
      <c r="E16" s="353" t="s">
        <v>8</v>
      </c>
      <c r="F16" s="353">
        <v>0</v>
      </c>
      <c r="G16" s="352">
        <f t="shared" si="0"/>
        <v>0</v>
      </c>
      <c r="H16" s="353"/>
      <c r="I16" s="353"/>
      <c r="J16" s="353"/>
      <c r="K16" s="352">
        <f t="shared" si="1"/>
        <v>0</v>
      </c>
      <c r="L16" s="352"/>
      <c r="M16" s="352"/>
      <c r="N16" s="353"/>
      <c r="O16" s="353">
        <v>5000</v>
      </c>
      <c r="P16" s="353"/>
      <c r="Q16" s="353">
        <v>20000</v>
      </c>
      <c r="R16" s="352">
        <f t="shared" si="2"/>
        <v>25000</v>
      </c>
      <c r="S16" s="353"/>
      <c r="T16" s="353"/>
      <c r="U16" s="353"/>
      <c r="V16" s="353"/>
      <c r="W16" s="353"/>
      <c r="X16" s="353"/>
      <c r="Y16" s="353"/>
      <c r="Z16" s="353"/>
      <c r="AA16" s="353"/>
      <c r="AB16" s="349">
        <f t="shared" si="3"/>
        <v>25000</v>
      </c>
      <c r="AC16" s="1"/>
    </row>
    <row r="17" spans="1:29" ht="17.25" thickBot="1" x14ac:dyDescent="0.35">
      <c r="A17" s="356" t="s">
        <v>384</v>
      </c>
      <c r="B17" s="450" t="s">
        <v>78</v>
      </c>
      <c r="C17" s="352"/>
      <c r="D17" s="352"/>
      <c r="E17" s="352"/>
      <c r="F17" s="352">
        <f>+F18</f>
        <v>0</v>
      </c>
      <c r="G17" s="352">
        <f t="shared" si="0"/>
        <v>0</v>
      </c>
      <c r="H17" s="353"/>
      <c r="I17" s="353"/>
      <c r="J17" s="353"/>
      <c r="K17" s="352">
        <f t="shared" si="1"/>
        <v>0</v>
      </c>
      <c r="L17" s="352"/>
      <c r="M17" s="352"/>
      <c r="N17" s="352">
        <f>+N18</f>
        <v>0</v>
      </c>
      <c r="O17" s="352">
        <f>+O18</f>
        <v>0</v>
      </c>
      <c r="P17" s="352">
        <f>+P18</f>
        <v>0</v>
      </c>
      <c r="Q17" s="352">
        <f>+Q18</f>
        <v>12000</v>
      </c>
      <c r="R17" s="352">
        <f t="shared" si="2"/>
        <v>12000</v>
      </c>
      <c r="S17" s="353"/>
      <c r="T17" s="353"/>
      <c r="U17" s="353"/>
      <c r="V17" s="353"/>
      <c r="W17" s="353"/>
      <c r="X17" s="353"/>
      <c r="Y17" s="353"/>
      <c r="Z17" s="353"/>
      <c r="AA17" s="353"/>
      <c r="AB17" s="349">
        <f t="shared" si="3"/>
        <v>12000</v>
      </c>
      <c r="AC17" s="1"/>
    </row>
    <row r="18" spans="1:29" ht="17.25" thickBot="1" x14ac:dyDescent="0.35">
      <c r="A18" s="355">
        <v>51301</v>
      </c>
      <c r="B18" s="451" t="s">
        <v>79</v>
      </c>
      <c r="C18" s="353"/>
      <c r="D18" s="353"/>
      <c r="E18" s="353"/>
      <c r="F18" s="393">
        <v>0</v>
      </c>
      <c r="G18" s="352">
        <f t="shared" si="0"/>
        <v>0</v>
      </c>
      <c r="H18" s="353"/>
      <c r="I18" s="353"/>
      <c r="J18" s="353"/>
      <c r="K18" s="352">
        <f t="shared" si="1"/>
        <v>0</v>
      </c>
      <c r="L18" s="352"/>
      <c r="M18" s="352"/>
      <c r="N18" s="353"/>
      <c r="O18" s="353"/>
      <c r="P18" s="353"/>
      <c r="Q18" s="353">
        <v>12000</v>
      </c>
      <c r="R18" s="352">
        <f t="shared" si="2"/>
        <v>12000</v>
      </c>
      <c r="S18" s="353"/>
      <c r="T18" s="353"/>
      <c r="U18" s="353"/>
      <c r="V18" s="353"/>
      <c r="W18" s="353"/>
      <c r="X18" s="353"/>
      <c r="Y18" s="353"/>
      <c r="Z18" s="353"/>
      <c r="AA18" s="353"/>
      <c r="AB18" s="349">
        <f t="shared" si="3"/>
        <v>12000</v>
      </c>
      <c r="AC18" s="1"/>
    </row>
    <row r="19" spans="1:29" ht="27" thickBot="1" x14ac:dyDescent="0.35">
      <c r="A19" s="350">
        <v>514</v>
      </c>
      <c r="B19" s="452" t="s">
        <v>452</v>
      </c>
      <c r="C19" s="352">
        <f>+C20</f>
        <v>0</v>
      </c>
      <c r="D19" s="352">
        <f>+D20</f>
        <v>0</v>
      </c>
      <c r="E19" s="352">
        <f>+E20</f>
        <v>0</v>
      </c>
      <c r="F19" s="352">
        <f>+F20</f>
        <v>0</v>
      </c>
      <c r="G19" s="352">
        <f t="shared" si="0"/>
        <v>0</v>
      </c>
      <c r="H19" s="353"/>
      <c r="I19" s="353"/>
      <c r="J19" s="353"/>
      <c r="K19" s="352">
        <f t="shared" si="1"/>
        <v>0</v>
      </c>
      <c r="L19" s="352"/>
      <c r="M19" s="352"/>
      <c r="N19" s="352">
        <f>+N20</f>
        <v>21046.880000000001</v>
      </c>
      <c r="O19" s="352">
        <f>+O20</f>
        <v>12906.99</v>
      </c>
      <c r="P19" s="352">
        <f>+P20</f>
        <v>4529.03</v>
      </c>
      <c r="Q19" s="352">
        <f>+Q20</f>
        <v>74499.47</v>
      </c>
      <c r="R19" s="352">
        <f t="shared" si="2"/>
        <v>112982.37</v>
      </c>
      <c r="S19" s="353"/>
      <c r="T19" s="353"/>
      <c r="U19" s="353"/>
      <c r="V19" s="353"/>
      <c r="W19" s="353"/>
      <c r="X19" s="353"/>
      <c r="Y19" s="353"/>
      <c r="Z19" s="353"/>
      <c r="AA19" s="353"/>
      <c r="AB19" s="349">
        <f t="shared" si="3"/>
        <v>112982.37</v>
      </c>
      <c r="AC19" s="1"/>
    </row>
    <row r="20" spans="1:29" ht="17.25" thickBot="1" x14ac:dyDescent="0.35">
      <c r="A20" s="354" t="s">
        <v>385</v>
      </c>
      <c r="B20" s="449" t="s">
        <v>80</v>
      </c>
      <c r="C20" s="353">
        <v>0</v>
      </c>
      <c r="D20" s="353">
        <v>0</v>
      </c>
      <c r="E20" s="353">
        <v>0</v>
      </c>
      <c r="F20" s="353">
        <v>0</v>
      </c>
      <c r="G20" s="352">
        <f t="shared" si="0"/>
        <v>0</v>
      </c>
      <c r="H20" s="353"/>
      <c r="I20" s="353"/>
      <c r="J20" s="353"/>
      <c r="K20" s="352">
        <f t="shared" si="1"/>
        <v>0</v>
      </c>
      <c r="L20" s="352"/>
      <c r="M20" s="352"/>
      <c r="N20" s="353">
        <v>21046.880000000001</v>
      </c>
      <c r="O20" s="353">
        <v>12906.99</v>
      </c>
      <c r="P20" s="353">
        <v>4529.03</v>
      </c>
      <c r="Q20" s="353">
        <v>74499.47</v>
      </c>
      <c r="R20" s="352">
        <f t="shared" si="2"/>
        <v>112982.37</v>
      </c>
      <c r="S20" s="353"/>
      <c r="T20" s="353"/>
      <c r="U20" s="353"/>
      <c r="V20" s="353"/>
      <c r="W20" s="353"/>
      <c r="X20" s="353"/>
      <c r="Y20" s="353"/>
      <c r="Z20" s="353"/>
      <c r="AA20" s="353"/>
      <c r="AB20" s="349">
        <f t="shared" si="3"/>
        <v>112982.37</v>
      </c>
      <c r="AC20" s="1"/>
    </row>
    <row r="21" spans="1:29" ht="27" thickBot="1" x14ac:dyDescent="0.35">
      <c r="A21" s="350">
        <v>515</v>
      </c>
      <c r="B21" s="452" t="s">
        <v>453</v>
      </c>
      <c r="C21" s="352">
        <f>+C22</f>
        <v>0</v>
      </c>
      <c r="D21" s="352">
        <f>+D22</f>
        <v>0</v>
      </c>
      <c r="E21" s="352">
        <f>+E22</f>
        <v>0</v>
      </c>
      <c r="F21" s="352">
        <f>+F22</f>
        <v>0</v>
      </c>
      <c r="G21" s="352">
        <f t="shared" si="0"/>
        <v>0</v>
      </c>
      <c r="H21" s="352"/>
      <c r="I21" s="352"/>
      <c r="J21" s="352"/>
      <c r="K21" s="352">
        <f t="shared" si="1"/>
        <v>0</v>
      </c>
      <c r="L21" s="352"/>
      <c r="M21" s="352"/>
      <c r="N21" s="352">
        <f>+N22</f>
        <v>18531.77</v>
      </c>
      <c r="O21" s="352">
        <f>+O22</f>
        <v>12013.16</v>
      </c>
      <c r="P21" s="352">
        <f>+P22</f>
        <v>4185.49</v>
      </c>
      <c r="Q21" s="352">
        <f>+Q22</f>
        <v>60392.03</v>
      </c>
      <c r="R21" s="352">
        <f t="shared" si="2"/>
        <v>95122.45</v>
      </c>
      <c r="S21" s="353"/>
      <c r="T21" s="353"/>
      <c r="U21" s="353"/>
      <c r="V21" s="353"/>
      <c r="W21" s="353"/>
      <c r="X21" s="353"/>
      <c r="Y21" s="353"/>
      <c r="Z21" s="353"/>
      <c r="AA21" s="353"/>
      <c r="AB21" s="349">
        <f t="shared" si="3"/>
        <v>95122.45</v>
      </c>
      <c r="AC21" s="1"/>
    </row>
    <row r="22" spans="1:29" ht="17.25" thickBot="1" x14ac:dyDescent="0.35">
      <c r="A22" s="354" t="s">
        <v>386</v>
      </c>
      <c r="B22" s="449" t="s">
        <v>80</v>
      </c>
      <c r="C22" s="353">
        <v>0</v>
      </c>
      <c r="D22" s="353">
        <v>0</v>
      </c>
      <c r="E22" s="353">
        <v>0</v>
      </c>
      <c r="F22" s="353">
        <v>0</v>
      </c>
      <c r="G22" s="352">
        <f t="shared" si="0"/>
        <v>0</v>
      </c>
      <c r="H22" s="353"/>
      <c r="I22" s="353"/>
      <c r="J22" s="353"/>
      <c r="K22" s="352">
        <f t="shared" si="1"/>
        <v>0</v>
      </c>
      <c r="L22" s="352"/>
      <c r="M22" s="352"/>
      <c r="N22" s="353">
        <v>18531.77</v>
      </c>
      <c r="O22" s="353">
        <v>12013.16</v>
      </c>
      <c r="P22" s="353">
        <v>4185.49</v>
      </c>
      <c r="Q22" s="353">
        <v>60392.03</v>
      </c>
      <c r="R22" s="352">
        <f t="shared" si="2"/>
        <v>95122.45</v>
      </c>
      <c r="S22" s="353"/>
      <c r="T22" s="353"/>
      <c r="U22" s="353"/>
      <c r="V22" s="353"/>
      <c r="W22" s="353"/>
      <c r="X22" s="353"/>
      <c r="Y22" s="353"/>
      <c r="Z22" s="353"/>
      <c r="AA22" s="353"/>
      <c r="AB22" s="349">
        <f t="shared" si="3"/>
        <v>95122.45</v>
      </c>
      <c r="AC22" s="1"/>
    </row>
    <row r="23" spans="1:29" ht="17.25" thickBot="1" x14ac:dyDescent="0.35">
      <c r="A23" s="356" t="s">
        <v>387</v>
      </c>
      <c r="B23" s="450" t="s">
        <v>81</v>
      </c>
      <c r="C23" s="352">
        <f>+C24</f>
        <v>0</v>
      </c>
      <c r="D23" s="352"/>
      <c r="E23" s="352"/>
      <c r="F23" s="352"/>
      <c r="G23" s="352">
        <f t="shared" si="0"/>
        <v>0</v>
      </c>
      <c r="H23" s="353"/>
      <c r="I23" s="353"/>
      <c r="J23" s="353"/>
      <c r="K23" s="352">
        <f t="shared" si="1"/>
        <v>0</v>
      </c>
      <c r="L23" s="352"/>
      <c r="M23" s="352"/>
      <c r="N23" s="352">
        <f>+N24+N25</f>
        <v>15000</v>
      </c>
      <c r="O23" s="352">
        <f>+O24+O25</f>
        <v>0</v>
      </c>
      <c r="P23" s="352">
        <f>+P24+P25</f>
        <v>0</v>
      </c>
      <c r="Q23" s="352">
        <f>+Q24+Q25</f>
        <v>0</v>
      </c>
      <c r="R23" s="352">
        <f t="shared" si="2"/>
        <v>15000</v>
      </c>
      <c r="S23" s="353"/>
      <c r="T23" s="353"/>
      <c r="U23" s="353"/>
      <c r="V23" s="353"/>
      <c r="W23" s="353"/>
      <c r="X23" s="353"/>
      <c r="Y23" s="353"/>
      <c r="Z23" s="353"/>
      <c r="AA23" s="353"/>
      <c r="AB23" s="349">
        <f t="shared" si="3"/>
        <v>15000</v>
      </c>
      <c r="AC23" s="1"/>
    </row>
    <row r="24" spans="1:29" ht="17.25" thickBot="1" x14ac:dyDescent="0.35">
      <c r="A24" s="355">
        <v>51601</v>
      </c>
      <c r="B24" s="451" t="s">
        <v>415</v>
      </c>
      <c r="C24" s="353">
        <v>0</v>
      </c>
      <c r="D24" s="353"/>
      <c r="E24" s="353"/>
      <c r="F24" s="353"/>
      <c r="G24" s="352">
        <f t="shared" si="0"/>
        <v>0</v>
      </c>
      <c r="H24" s="352"/>
      <c r="I24" s="352"/>
      <c r="J24" s="352"/>
      <c r="K24" s="352">
        <f t="shared" si="1"/>
        <v>0</v>
      </c>
      <c r="L24" s="352"/>
      <c r="M24" s="352"/>
      <c r="N24" s="353">
        <v>12000</v>
      </c>
      <c r="O24" s="353"/>
      <c r="P24" s="353"/>
      <c r="Q24" s="353"/>
      <c r="R24" s="352">
        <f t="shared" si="2"/>
        <v>12000</v>
      </c>
      <c r="S24" s="353"/>
      <c r="T24" s="353"/>
      <c r="U24" s="353"/>
      <c r="V24" s="353"/>
      <c r="W24" s="353"/>
      <c r="X24" s="353"/>
      <c r="Y24" s="353"/>
      <c r="Z24" s="353"/>
      <c r="AA24" s="353"/>
      <c r="AB24" s="349">
        <f t="shared" si="3"/>
        <v>12000</v>
      </c>
      <c r="AC24" s="1"/>
    </row>
    <row r="25" spans="1:29" ht="17.25" thickBot="1" x14ac:dyDescent="0.35">
      <c r="A25" s="355">
        <v>51602</v>
      </c>
      <c r="B25" s="451" t="s">
        <v>454</v>
      </c>
      <c r="C25" s="353"/>
      <c r="D25" s="353"/>
      <c r="E25" s="353"/>
      <c r="F25" s="353"/>
      <c r="G25" s="352">
        <f t="shared" si="0"/>
        <v>0</v>
      </c>
      <c r="H25" s="353"/>
      <c r="I25" s="353"/>
      <c r="J25" s="353"/>
      <c r="K25" s="352">
        <f t="shared" si="1"/>
        <v>0</v>
      </c>
      <c r="L25" s="352"/>
      <c r="M25" s="352"/>
      <c r="N25" s="353">
        <v>3000</v>
      </c>
      <c r="O25" s="353"/>
      <c r="P25" s="353"/>
      <c r="Q25" s="353"/>
      <c r="R25" s="352">
        <f t="shared" si="2"/>
        <v>3000</v>
      </c>
      <c r="S25" s="353"/>
      <c r="T25" s="353"/>
      <c r="U25" s="353"/>
      <c r="V25" s="353"/>
      <c r="W25" s="353"/>
      <c r="X25" s="353"/>
      <c r="Y25" s="353"/>
      <c r="Z25" s="353"/>
      <c r="AA25" s="353"/>
      <c r="AB25" s="349">
        <f t="shared" si="3"/>
        <v>3000</v>
      </c>
      <c r="AC25" s="1"/>
    </row>
    <row r="26" spans="1:29" ht="17.25" thickBot="1" x14ac:dyDescent="0.35">
      <c r="A26" s="350">
        <v>517</v>
      </c>
      <c r="B26" s="452" t="s">
        <v>84</v>
      </c>
      <c r="C26" s="352">
        <f>+C27</f>
        <v>0</v>
      </c>
      <c r="D26" s="352"/>
      <c r="E26" s="352"/>
      <c r="F26" s="352"/>
      <c r="G26" s="352">
        <f t="shared" si="0"/>
        <v>0</v>
      </c>
      <c r="H26" s="353"/>
      <c r="I26" s="353"/>
      <c r="J26" s="353"/>
      <c r="K26" s="352">
        <f t="shared" si="1"/>
        <v>0</v>
      </c>
      <c r="L26" s="352"/>
      <c r="M26" s="352"/>
      <c r="N26" s="352">
        <f>+N27</f>
        <v>5000</v>
      </c>
      <c r="O26" s="352">
        <f>+O27</f>
        <v>10000</v>
      </c>
      <c r="P26" s="352">
        <f>+P27</f>
        <v>2500</v>
      </c>
      <c r="Q26" s="352">
        <f>+Q27</f>
        <v>7500</v>
      </c>
      <c r="R26" s="352">
        <f t="shared" si="2"/>
        <v>25000</v>
      </c>
      <c r="S26" s="353"/>
      <c r="T26" s="353"/>
      <c r="U26" s="353"/>
      <c r="V26" s="353"/>
      <c r="W26" s="353"/>
      <c r="X26" s="353"/>
      <c r="Y26" s="353"/>
      <c r="Z26" s="353"/>
      <c r="AA26" s="353"/>
      <c r="AB26" s="349">
        <f t="shared" si="3"/>
        <v>25000</v>
      </c>
      <c r="AC26" s="1"/>
    </row>
    <row r="27" spans="1:29" ht="27" thickBot="1" x14ac:dyDescent="0.35">
      <c r="A27" s="355">
        <v>51701</v>
      </c>
      <c r="B27" s="451" t="s">
        <v>85</v>
      </c>
      <c r="C27" s="353">
        <v>0</v>
      </c>
      <c r="D27" s="353"/>
      <c r="E27" s="353"/>
      <c r="F27" s="353"/>
      <c r="G27" s="352">
        <f>+C27+D27+E27</f>
        <v>0</v>
      </c>
      <c r="H27" s="352"/>
      <c r="I27" s="352"/>
      <c r="J27" s="352"/>
      <c r="K27" s="352">
        <f t="shared" si="1"/>
        <v>0</v>
      </c>
      <c r="L27" s="352"/>
      <c r="M27" s="352"/>
      <c r="N27" s="353">
        <v>5000</v>
      </c>
      <c r="O27" s="353">
        <v>10000</v>
      </c>
      <c r="P27" s="353">
        <v>2500</v>
      </c>
      <c r="Q27" s="353">
        <v>7500</v>
      </c>
      <c r="R27" s="352">
        <f t="shared" si="2"/>
        <v>25000</v>
      </c>
      <c r="S27" s="353"/>
      <c r="T27" s="353"/>
      <c r="U27" s="353"/>
      <c r="V27" s="353"/>
      <c r="W27" s="353"/>
      <c r="X27" s="353"/>
      <c r="Y27" s="353"/>
      <c r="Z27" s="353"/>
      <c r="AA27" s="353"/>
      <c r="AB27" s="349">
        <f t="shared" si="3"/>
        <v>25000</v>
      </c>
      <c r="AC27" s="1"/>
    </row>
    <row r="28" spans="1:29" ht="17.25" thickBot="1" x14ac:dyDescent="0.35">
      <c r="A28" s="355">
        <v>51702</v>
      </c>
      <c r="B28" s="451" t="s">
        <v>455</v>
      </c>
      <c r="C28" s="353"/>
      <c r="D28" s="353"/>
      <c r="E28" s="353"/>
      <c r="F28" s="353"/>
      <c r="G28" s="352">
        <f>+C28+D28+E28</f>
        <v>0</v>
      </c>
      <c r="H28" s="352"/>
      <c r="I28" s="352"/>
      <c r="J28" s="352"/>
      <c r="K28" s="352">
        <f t="shared" si="1"/>
        <v>0</v>
      </c>
      <c r="L28" s="352"/>
      <c r="M28" s="352"/>
      <c r="N28" s="353"/>
      <c r="O28" s="353"/>
      <c r="P28" s="353"/>
      <c r="Q28" s="353"/>
      <c r="R28" s="352">
        <f t="shared" si="2"/>
        <v>0</v>
      </c>
      <c r="S28" s="353"/>
      <c r="T28" s="353"/>
      <c r="U28" s="353"/>
      <c r="V28" s="353"/>
      <c r="W28" s="353"/>
      <c r="X28" s="353"/>
      <c r="Y28" s="353"/>
      <c r="Z28" s="353"/>
      <c r="AA28" s="353"/>
      <c r="AB28" s="349">
        <f t="shared" si="3"/>
        <v>0</v>
      </c>
      <c r="AC28" s="1"/>
    </row>
    <row r="29" spans="1:29" ht="17.25" thickBot="1" x14ac:dyDescent="0.35">
      <c r="A29" s="350">
        <v>519</v>
      </c>
      <c r="B29" s="452" t="s">
        <v>86</v>
      </c>
      <c r="C29" s="353">
        <f>+C30</f>
        <v>0</v>
      </c>
      <c r="D29" s="353">
        <f>+D30</f>
        <v>0</v>
      </c>
      <c r="E29" s="353">
        <f>+E30</f>
        <v>0</v>
      </c>
      <c r="F29" s="353">
        <f>+F30</f>
        <v>0</v>
      </c>
      <c r="G29" s="352">
        <f>SUM(C29:F29)</f>
        <v>0</v>
      </c>
      <c r="H29" s="352"/>
      <c r="I29" s="352"/>
      <c r="J29" s="352"/>
      <c r="K29" s="352">
        <f t="shared" si="1"/>
        <v>0</v>
      </c>
      <c r="L29" s="352"/>
      <c r="M29" s="352"/>
      <c r="N29" s="352">
        <f>+N30</f>
        <v>0</v>
      </c>
      <c r="O29" s="352">
        <f>+O30</f>
        <v>0</v>
      </c>
      <c r="P29" s="352">
        <f>+P30</f>
        <v>0</v>
      </c>
      <c r="Q29" s="352">
        <f>+Q30</f>
        <v>0</v>
      </c>
      <c r="R29" s="352">
        <f t="shared" si="2"/>
        <v>0</v>
      </c>
      <c r="S29" s="353"/>
      <c r="T29" s="353"/>
      <c r="U29" s="353"/>
      <c r="V29" s="353"/>
      <c r="W29" s="353"/>
      <c r="X29" s="353"/>
      <c r="Y29" s="353"/>
      <c r="Z29" s="353"/>
      <c r="AA29" s="353"/>
      <c r="AB29" s="349">
        <f t="shared" si="3"/>
        <v>0</v>
      </c>
      <c r="AC29" s="1"/>
    </row>
    <row r="30" spans="1:29" ht="17.25" thickBot="1" x14ac:dyDescent="0.35">
      <c r="A30" s="355">
        <v>51901</v>
      </c>
      <c r="B30" s="451" t="s">
        <v>87</v>
      </c>
      <c r="C30" s="353"/>
      <c r="D30" s="353">
        <v>0</v>
      </c>
      <c r="E30" s="353"/>
      <c r="F30" s="353"/>
      <c r="G30" s="352">
        <f>SUM(C30:F30)</f>
        <v>0</v>
      </c>
      <c r="H30" s="352"/>
      <c r="I30" s="352"/>
      <c r="J30" s="352"/>
      <c r="K30" s="352">
        <f t="shared" si="1"/>
        <v>0</v>
      </c>
      <c r="L30" s="352"/>
      <c r="M30" s="352"/>
      <c r="N30" s="353"/>
      <c r="O30" s="353"/>
      <c r="P30" s="353"/>
      <c r="Q30" s="353"/>
      <c r="R30" s="352">
        <f t="shared" si="2"/>
        <v>0</v>
      </c>
      <c r="S30" s="353"/>
      <c r="T30" s="353"/>
      <c r="U30" s="353"/>
      <c r="V30" s="353"/>
      <c r="W30" s="353"/>
      <c r="X30" s="353"/>
      <c r="Y30" s="353"/>
      <c r="Z30" s="353"/>
      <c r="AA30" s="353"/>
      <c r="AB30" s="349">
        <f t="shared" si="3"/>
        <v>0</v>
      </c>
      <c r="AC30" s="1"/>
    </row>
    <row r="31" spans="1:29" ht="17.25" thickBot="1" x14ac:dyDescent="0.35">
      <c r="A31" s="355"/>
      <c r="B31" s="451"/>
      <c r="C31" s="353"/>
      <c r="D31" s="353"/>
      <c r="E31" s="353"/>
      <c r="F31" s="353"/>
      <c r="G31" s="352">
        <f>+C31+D31+E31</f>
        <v>0</v>
      </c>
      <c r="H31" s="352"/>
      <c r="I31" s="352"/>
      <c r="J31" s="352"/>
      <c r="K31" s="352">
        <f t="shared" si="1"/>
        <v>0</v>
      </c>
      <c r="L31" s="352"/>
      <c r="M31" s="352"/>
      <c r="N31" s="353"/>
      <c r="O31" s="353"/>
      <c r="P31" s="353"/>
      <c r="Q31" s="353"/>
      <c r="R31" s="352">
        <f t="shared" si="2"/>
        <v>0</v>
      </c>
      <c r="S31" s="353"/>
      <c r="T31" s="353"/>
      <c r="U31" s="353"/>
      <c r="V31" s="353"/>
      <c r="W31" s="353"/>
      <c r="X31" s="353"/>
      <c r="Y31" s="353"/>
      <c r="Z31" s="353"/>
      <c r="AA31" s="353"/>
      <c r="AB31" s="349"/>
      <c r="AC31" s="1"/>
    </row>
    <row r="32" spans="1:29" ht="17.25" thickBot="1" x14ac:dyDescent="0.35">
      <c r="A32" s="350">
        <v>54</v>
      </c>
      <c r="B32" s="452" t="s">
        <v>88</v>
      </c>
      <c r="C32" s="357">
        <f>+C33+C53+C59+C75+C80</f>
        <v>0</v>
      </c>
      <c r="D32" s="357">
        <f>+D33+D53+D59+D75+D80</f>
        <v>408000</v>
      </c>
      <c r="E32" s="357">
        <f>+E33+E53+E59+E75+E80</f>
        <v>0</v>
      </c>
      <c r="F32" s="357">
        <f>+F33+F53+F59+F75+F80</f>
        <v>0</v>
      </c>
      <c r="G32" s="352">
        <f t="shared" ref="G32:G63" si="4">SUM(C32:F32)</f>
        <v>408000</v>
      </c>
      <c r="H32" s="352">
        <v>96000</v>
      </c>
      <c r="I32" s="352">
        <f>+I59</f>
        <v>14000</v>
      </c>
      <c r="J32" s="353"/>
      <c r="K32" s="352">
        <f t="shared" si="1"/>
        <v>110000</v>
      </c>
      <c r="L32" s="352">
        <v>161413</v>
      </c>
      <c r="M32" s="352"/>
      <c r="N32" s="352">
        <f>+N33+N53+N59+N75+N80</f>
        <v>40251.42</v>
      </c>
      <c r="O32" s="352">
        <f>+O33+O53+O59+O75+O80</f>
        <v>80833.790000000008</v>
      </c>
      <c r="P32" s="352">
        <f>+P33+P53+P59+P75+P80</f>
        <v>6771.84</v>
      </c>
      <c r="Q32" s="352">
        <f>+Q33+Q53+Q59+Q75+Q80</f>
        <v>177728.52999999997</v>
      </c>
      <c r="R32" s="352">
        <f t="shared" si="2"/>
        <v>305585.57999999996</v>
      </c>
      <c r="S32" s="353"/>
      <c r="T32" s="353"/>
      <c r="U32" s="353"/>
      <c r="V32" s="353"/>
      <c r="W32" s="353"/>
      <c r="X32" s="353"/>
      <c r="Y32" s="353"/>
      <c r="Z32" s="353"/>
      <c r="AA32" s="353"/>
      <c r="AB32" s="349">
        <f t="shared" ref="AB32:AB63" si="5">+G32+K32+L32+M32+R32+U32+X32+AA32</f>
        <v>984998.58</v>
      </c>
      <c r="AC32" s="1"/>
    </row>
    <row r="33" spans="1:29" ht="17.25" thickBot="1" x14ac:dyDescent="0.35">
      <c r="A33" s="350">
        <v>541</v>
      </c>
      <c r="B33" s="452" t="s">
        <v>89</v>
      </c>
      <c r="C33" s="352">
        <f>SUM(C34:C52)</f>
        <v>0</v>
      </c>
      <c r="D33" s="352">
        <f>SUM(D34:D52)</f>
        <v>0</v>
      </c>
      <c r="E33" s="352">
        <f>SUM(E34:E52)</f>
        <v>0</v>
      </c>
      <c r="F33" s="352">
        <f>SUM(F34:F52)</f>
        <v>0</v>
      </c>
      <c r="G33" s="352">
        <f t="shared" si="4"/>
        <v>0</v>
      </c>
      <c r="H33" s="352"/>
      <c r="I33" s="352"/>
      <c r="J33" s="352"/>
      <c r="K33" s="352">
        <f t="shared" si="1"/>
        <v>0</v>
      </c>
      <c r="L33" s="352"/>
      <c r="M33" s="352"/>
      <c r="N33" s="352">
        <f>SUM(N34:N52)</f>
        <v>18251.419999999998</v>
      </c>
      <c r="O33" s="352">
        <f>SUM(O34:O52)</f>
        <v>48628.79</v>
      </c>
      <c r="P33" s="352">
        <f>SUM(P34:P52)</f>
        <v>5461.84</v>
      </c>
      <c r="Q33" s="352">
        <f>SUM(Q34:Q52)</f>
        <v>159462.52999999997</v>
      </c>
      <c r="R33" s="352">
        <f>+N33+O33+P33+Q33</f>
        <v>231804.57999999996</v>
      </c>
      <c r="S33" s="353"/>
      <c r="T33" s="353"/>
      <c r="U33" s="353"/>
      <c r="V33" s="353"/>
      <c r="W33" s="353"/>
      <c r="X33" s="353"/>
      <c r="Y33" s="353"/>
      <c r="Z33" s="353"/>
      <c r="AA33" s="353"/>
      <c r="AB33" s="349">
        <f t="shared" si="5"/>
        <v>231804.57999999996</v>
      </c>
      <c r="AC33" s="1"/>
    </row>
    <row r="34" spans="1:29" ht="17.25" thickBot="1" x14ac:dyDescent="0.35">
      <c r="A34" s="566">
        <v>54101</v>
      </c>
      <c r="B34" s="451" t="s">
        <v>202</v>
      </c>
      <c r="C34" s="353"/>
      <c r="D34" s="353">
        <v>0</v>
      </c>
      <c r="E34" s="353"/>
      <c r="F34" s="353">
        <v>0</v>
      </c>
      <c r="G34" s="352">
        <f t="shared" si="4"/>
        <v>0</v>
      </c>
      <c r="H34" s="353"/>
      <c r="I34" s="353"/>
      <c r="J34" s="353"/>
      <c r="K34" s="352">
        <f t="shared" si="1"/>
        <v>0</v>
      </c>
      <c r="L34" s="352"/>
      <c r="M34" s="352"/>
      <c r="N34" s="353">
        <v>4668</v>
      </c>
      <c r="O34" s="353">
        <v>371.6</v>
      </c>
      <c r="P34" s="353">
        <v>527.29999999999995</v>
      </c>
      <c r="Q34" s="353">
        <v>6723.86</v>
      </c>
      <c r="R34" s="352">
        <f t="shared" si="2"/>
        <v>12290.76</v>
      </c>
      <c r="S34" s="353"/>
      <c r="T34" s="353"/>
      <c r="U34" s="353"/>
      <c r="V34" s="353"/>
      <c r="W34" s="353"/>
      <c r="X34" s="353"/>
      <c r="Y34" s="353"/>
      <c r="Z34" s="353"/>
      <c r="AA34" s="353"/>
      <c r="AB34" s="349">
        <f t="shared" si="5"/>
        <v>12290.76</v>
      </c>
      <c r="AC34" s="1"/>
    </row>
    <row r="35" spans="1:29" ht="27" thickBot="1" x14ac:dyDescent="0.35">
      <c r="A35" s="355">
        <v>54103</v>
      </c>
      <c r="B35" s="451" t="s">
        <v>203</v>
      </c>
      <c r="C35" s="353"/>
      <c r="D35" s="353"/>
      <c r="E35" s="353"/>
      <c r="F35" s="353"/>
      <c r="G35" s="352">
        <f t="shared" si="4"/>
        <v>0</v>
      </c>
      <c r="H35" s="353"/>
      <c r="I35" s="353"/>
      <c r="J35" s="353"/>
      <c r="K35" s="352">
        <f t="shared" si="1"/>
        <v>0</v>
      </c>
      <c r="L35" s="352"/>
      <c r="M35" s="352"/>
      <c r="N35" s="353"/>
      <c r="O35" s="353"/>
      <c r="P35" s="353"/>
      <c r="Q35" s="353">
        <f>+'[3]grupo por linea'!$AW$13</f>
        <v>192</v>
      </c>
      <c r="R35" s="352">
        <f t="shared" si="2"/>
        <v>192</v>
      </c>
      <c r="S35" s="353"/>
      <c r="T35" s="353"/>
      <c r="U35" s="353"/>
      <c r="V35" s="353"/>
      <c r="W35" s="353"/>
      <c r="X35" s="353"/>
      <c r="Y35" s="353"/>
      <c r="Z35" s="353"/>
      <c r="AA35" s="353"/>
      <c r="AB35" s="349">
        <f t="shared" si="5"/>
        <v>192</v>
      </c>
      <c r="AC35" s="1"/>
    </row>
    <row r="36" spans="1:29" ht="17.25" thickBot="1" x14ac:dyDescent="0.35">
      <c r="A36" s="355">
        <v>54104</v>
      </c>
      <c r="B36" s="451" t="s">
        <v>91</v>
      </c>
      <c r="C36" s="353">
        <v>0</v>
      </c>
      <c r="D36" s="353">
        <v>0</v>
      </c>
      <c r="E36" s="353">
        <v>0</v>
      </c>
      <c r="F36" s="353">
        <v>0</v>
      </c>
      <c r="G36" s="352">
        <f t="shared" si="4"/>
        <v>0</v>
      </c>
      <c r="H36" s="353"/>
      <c r="I36" s="353"/>
      <c r="J36" s="353"/>
      <c r="K36" s="352">
        <f t="shared" si="1"/>
        <v>0</v>
      </c>
      <c r="L36" s="352"/>
      <c r="M36" s="352"/>
      <c r="N36" s="353">
        <v>3720.5</v>
      </c>
      <c r="O36" s="353">
        <v>4998.95</v>
      </c>
      <c r="P36" s="353">
        <v>400</v>
      </c>
      <c r="Q36" s="353">
        <v>20120.009999999998</v>
      </c>
      <c r="R36" s="352">
        <f t="shared" si="2"/>
        <v>29239.46</v>
      </c>
      <c r="S36" s="353"/>
      <c r="T36" s="353"/>
      <c r="U36" s="353"/>
      <c r="V36" s="353"/>
      <c r="W36" s="353"/>
      <c r="X36" s="353"/>
      <c r="Y36" s="353"/>
      <c r="Z36" s="353"/>
      <c r="AA36" s="353"/>
      <c r="AB36" s="349">
        <f t="shared" si="5"/>
        <v>29239.46</v>
      </c>
      <c r="AC36" s="1"/>
    </row>
    <row r="37" spans="1:29" ht="17.25" thickBot="1" x14ac:dyDescent="0.35">
      <c r="A37" s="355">
        <v>54105</v>
      </c>
      <c r="B37" s="451" t="s">
        <v>204</v>
      </c>
      <c r="C37" s="353">
        <v>0</v>
      </c>
      <c r="D37" s="353">
        <v>0</v>
      </c>
      <c r="E37" s="353">
        <v>0</v>
      </c>
      <c r="F37" s="353">
        <v>0</v>
      </c>
      <c r="G37" s="352">
        <f t="shared" si="4"/>
        <v>0</v>
      </c>
      <c r="H37" s="353"/>
      <c r="I37" s="353"/>
      <c r="J37" s="353"/>
      <c r="K37" s="352">
        <f t="shared" si="1"/>
        <v>0</v>
      </c>
      <c r="L37" s="352"/>
      <c r="M37" s="352"/>
      <c r="N37" s="353">
        <v>3613.72</v>
      </c>
      <c r="O37" s="353">
        <v>4000</v>
      </c>
      <c r="P37" s="353">
        <v>1000</v>
      </c>
      <c r="Q37" s="353">
        <v>7227.17</v>
      </c>
      <c r="R37" s="352">
        <f t="shared" si="2"/>
        <v>15840.89</v>
      </c>
      <c r="S37" s="353"/>
      <c r="T37" s="353"/>
      <c r="U37" s="353"/>
      <c r="V37" s="353"/>
      <c r="W37" s="353"/>
      <c r="X37" s="353"/>
      <c r="Y37" s="353"/>
      <c r="Z37" s="353"/>
      <c r="AA37" s="353"/>
      <c r="AB37" s="349">
        <f t="shared" si="5"/>
        <v>15840.89</v>
      </c>
      <c r="AC37" s="1"/>
    </row>
    <row r="38" spans="1:29" ht="17.25" thickBot="1" x14ac:dyDescent="0.35">
      <c r="A38" s="355">
        <v>54106</v>
      </c>
      <c r="B38" s="451" t="s">
        <v>93</v>
      </c>
      <c r="C38" s="353"/>
      <c r="D38" s="353"/>
      <c r="E38" s="353"/>
      <c r="F38" s="353">
        <v>0</v>
      </c>
      <c r="G38" s="352">
        <f t="shared" si="4"/>
        <v>0</v>
      </c>
      <c r="H38" s="352"/>
      <c r="I38" s="352"/>
      <c r="J38" s="352"/>
      <c r="K38" s="352">
        <f t="shared" si="1"/>
        <v>0</v>
      </c>
      <c r="L38" s="352"/>
      <c r="M38" s="352"/>
      <c r="N38" s="353">
        <v>700</v>
      </c>
      <c r="O38" s="353">
        <v>200</v>
      </c>
      <c r="P38" s="353">
        <v>742.54</v>
      </c>
      <c r="Q38" s="353">
        <v>1316.6</v>
      </c>
      <c r="R38" s="352">
        <f t="shared" si="2"/>
        <v>2959.14</v>
      </c>
      <c r="S38" s="353"/>
      <c r="T38" s="353"/>
      <c r="U38" s="353"/>
      <c r="V38" s="353"/>
      <c r="W38" s="353"/>
      <c r="X38" s="353"/>
      <c r="Y38" s="353"/>
      <c r="Z38" s="353"/>
      <c r="AA38" s="353"/>
      <c r="AB38" s="349">
        <f t="shared" si="5"/>
        <v>2959.14</v>
      </c>
      <c r="AC38" s="1"/>
    </row>
    <row r="39" spans="1:29" ht="17.25" thickBot="1" x14ac:dyDescent="0.35">
      <c r="A39" s="355">
        <v>54107</v>
      </c>
      <c r="B39" s="524" t="s">
        <v>94</v>
      </c>
      <c r="C39" s="525"/>
      <c r="D39" s="525">
        <v>0</v>
      </c>
      <c r="E39" s="525"/>
      <c r="F39" s="525">
        <v>0</v>
      </c>
      <c r="G39" s="526">
        <f t="shared" si="4"/>
        <v>0</v>
      </c>
      <c r="H39" s="526"/>
      <c r="I39" s="526"/>
      <c r="J39" s="526"/>
      <c r="K39" s="526">
        <f t="shared" si="1"/>
        <v>0</v>
      </c>
      <c r="L39" s="526"/>
      <c r="M39" s="526"/>
      <c r="N39" s="525">
        <v>950.45</v>
      </c>
      <c r="O39" s="525">
        <v>147.93</v>
      </c>
      <c r="P39" s="525">
        <v>50</v>
      </c>
      <c r="Q39" s="525">
        <v>23461.439999999999</v>
      </c>
      <c r="R39" s="526">
        <f t="shared" si="2"/>
        <v>24609.82</v>
      </c>
      <c r="S39" s="525"/>
      <c r="T39" s="525"/>
      <c r="U39" s="525"/>
      <c r="V39" s="525"/>
      <c r="W39" s="525"/>
      <c r="X39" s="525"/>
      <c r="Y39" s="525"/>
      <c r="Z39" s="525"/>
      <c r="AA39" s="525"/>
      <c r="AB39" s="527">
        <f t="shared" si="5"/>
        <v>24609.82</v>
      </c>
      <c r="AC39" s="1"/>
    </row>
    <row r="40" spans="1:29" ht="27" thickBot="1" x14ac:dyDescent="0.35">
      <c r="A40" s="355">
        <v>54108</v>
      </c>
      <c r="B40" s="451" t="s">
        <v>95</v>
      </c>
      <c r="C40" s="353"/>
      <c r="D40" s="353"/>
      <c r="E40" s="353"/>
      <c r="F40" s="353">
        <v>0</v>
      </c>
      <c r="G40" s="352">
        <f t="shared" si="4"/>
        <v>0</v>
      </c>
      <c r="H40" s="353"/>
      <c r="I40" s="353"/>
      <c r="J40" s="353"/>
      <c r="K40" s="352">
        <f t="shared" si="1"/>
        <v>0</v>
      </c>
      <c r="L40" s="352"/>
      <c r="M40" s="352"/>
      <c r="N40" s="353"/>
      <c r="O40" s="353"/>
      <c r="P40" s="353"/>
      <c r="Q40" s="353"/>
      <c r="R40" s="352">
        <f t="shared" si="2"/>
        <v>0</v>
      </c>
      <c r="S40" s="353"/>
      <c r="T40" s="353"/>
      <c r="U40" s="353"/>
      <c r="V40" s="353"/>
      <c r="W40" s="353"/>
      <c r="X40" s="353"/>
      <c r="Y40" s="353"/>
      <c r="Z40" s="353"/>
      <c r="AA40" s="353"/>
      <c r="AB40" s="349">
        <f t="shared" si="5"/>
        <v>0</v>
      </c>
      <c r="AC40" s="1"/>
    </row>
    <row r="41" spans="1:29" ht="17.25" thickBot="1" x14ac:dyDescent="0.35">
      <c r="A41" s="355">
        <v>54109</v>
      </c>
      <c r="B41" s="451" t="s">
        <v>96</v>
      </c>
      <c r="C41" s="353">
        <v>0</v>
      </c>
      <c r="D41" s="353"/>
      <c r="E41" s="353">
        <v>0</v>
      </c>
      <c r="F41" s="353">
        <v>0</v>
      </c>
      <c r="G41" s="352">
        <f t="shared" si="4"/>
        <v>0</v>
      </c>
      <c r="H41" s="353"/>
      <c r="I41" s="353"/>
      <c r="J41" s="353"/>
      <c r="K41" s="352">
        <f t="shared" ref="K41:K72" si="6">+H41+I41+J41</f>
        <v>0</v>
      </c>
      <c r="L41" s="352"/>
      <c r="M41" s="352"/>
      <c r="N41" s="353">
        <v>750</v>
      </c>
      <c r="O41" s="353"/>
      <c r="P41" s="353"/>
      <c r="Q41" s="353">
        <v>2250</v>
      </c>
      <c r="R41" s="352">
        <f t="shared" ref="R41:R72" si="7">+N41+O41+P41+Q41</f>
        <v>3000</v>
      </c>
      <c r="S41" s="353"/>
      <c r="T41" s="353"/>
      <c r="U41" s="353"/>
      <c r="V41" s="353"/>
      <c r="W41" s="353"/>
      <c r="X41" s="353"/>
      <c r="Y41" s="353"/>
      <c r="Z41" s="353"/>
      <c r="AA41" s="353"/>
      <c r="AB41" s="349">
        <f t="shared" si="5"/>
        <v>3000</v>
      </c>
      <c r="AC41" s="1"/>
    </row>
    <row r="42" spans="1:29" ht="17.25" thickBot="1" x14ac:dyDescent="0.35">
      <c r="A42" s="355">
        <v>54110</v>
      </c>
      <c r="B42" s="451" t="s">
        <v>97</v>
      </c>
      <c r="C42" s="353"/>
      <c r="D42" s="353"/>
      <c r="E42" s="353"/>
      <c r="F42" s="353">
        <v>0</v>
      </c>
      <c r="G42" s="352">
        <f t="shared" si="4"/>
        <v>0</v>
      </c>
      <c r="H42" s="352"/>
      <c r="I42" s="352"/>
      <c r="J42" s="352"/>
      <c r="K42" s="352">
        <f t="shared" si="6"/>
        <v>0</v>
      </c>
      <c r="L42" s="352"/>
      <c r="M42" s="352"/>
      <c r="N42" s="353"/>
      <c r="O42" s="353"/>
      <c r="P42" s="353"/>
      <c r="Q42" s="353">
        <v>64570.2</v>
      </c>
      <c r="R42" s="352">
        <f t="shared" si="7"/>
        <v>64570.2</v>
      </c>
      <c r="S42" s="353"/>
      <c r="T42" s="353"/>
      <c r="U42" s="353"/>
      <c r="V42" s="353"/>
      <c r="W42" s="353"/>
      <c r="X42" s="353"/>
      <c r="Y42" s="353"/>
      <c r="Z42" s="353"/>
      <c r="AA42" s="353"/>
      <c r="AB42" s="349">
        <f t="shared" si="5"/>
        <v>64570.2</v>
      </c>
      <c r="AC42" s="1"/>
    </row>
    <row r="43" spans="1:29" ht="27" thickBot="1" x14ac:dyDescent="0.35">
      <c r="A43" s="355">
        <v>54111</v>
      </c>
      <c r="B43" s="451" t="s">
        <v>205</v>
      </c>
      <c r="C43" s="353"/>
      <c r="D43" s="353"/>
      <c r="E43" s="353"/>
      <c r="F43" s="353"/>
      <c r="G43" s="352">
        <f t="shared" si="4"/>
        <v>0</v>
      </c>
      <c r="H43" s="352"/>
      <c r="I43" s="352"/>
      <c r="J43" s="352"/>
      <c r="K43" s="352">
        <f t="shared" si="6"/>
        <v>0</v>
      </c>
      <c r="L43" s="352"/>
      <c r="M43" s="352"/>
      <c r="N43" s="353">
        <v>1000</v>
      </c>
      <c r="O43" s="353"/>
      <c r="P43" s="353">
        <v>443</v>
      </c>
      <c r="Q43" s="353">
        <f>+'[3]grupo por linea'!$AW$107</f>
        <v>50.400000000000006</v>
      </c>
      <c r="R43" s="352">
        <f t="shared" si="7"/>
        <v>1493.4</v>
      </c>
      <c r="S43" s="353"/>
      <c r="T43" s="353"/>
      <c r="U43" s="353"/>
      <c r="V43" s="353"/>
      <c r="W43" s="353"/>
      <c r="X43" s="353"/>
      <c r="Y43" s="353"/>
      <c r="Z43" s="353"/>
      <c r="AA43" s="353"/>
      <c r="AB43" s="349">
        <f t="shared" si="5"/>
        <v>1493.4</v>
      </c>
      <c r="AC43" s="1"/>
    </row>
    <row r="44" spans="1:29" ht="27" thickBot="1" x14ac:dyDescent="0.35">
      <c r="A44" s="355">
        <v>54112</v>
      </c>
      <c r="B44" s="451" t="s">
        <v>206</v>
      </c>
      <c r="C44" s="353"/>
      <c r="D44" s="353"/>
      <c r="E44" s="353">
        <v>0</v>
      </c>
      <c r="F44" s="353">
        <v>0</v>
      </c>
      <c r="G44" s="352">
        <f t="shared" si="4"/>
        <v>0</v>
      </c>
      <c r="H44" s="353"/>
      <c r="I44" s="353"/>
      <c r="J44" s="353"/>
      <c r="K44" s="352">
        <f t="shared" si="6"/>
        <v>0</v>
      </c>
      <c r="L44" s="352"/>
      <c r="M44" s="352"/>
      <c r="N44" s="353"/>
      <c r="O44" s="353"/>
      <c r="P44" s="353">
        <v>500</v>
      </c>
      <c r="Q44" s="353">
        <v>500</v>
      </c>
      <c r="R44" s="352">
        <f t="shared" si="7"/>
        <v>1000</v>
      </c>
      <c r="S44" s="353"/>
      <c r="T44" s="353"/>
      <c r="U44" s="353"/>
      <c r="V44" s="353"/>
      <c r="W44" s="353"/>
      <c r="X44" s="353"/>
      <c r="Y44" s="353"/>
      <c r="Z44" s="353"/>
      <c r="AA44" s="353"/>
      <c r="AB44" s="349">
        <f t="shared" si="5"/>
        <v>1000</v>
      </c>
      <c r="AC44" s="1"/>
    </row>
    <row r="45" spans="1:29" ht="17.25" thickBot="1" x14ac:dyDescent="0.35">
      <c r="A45" s="528">
        <v>54114</v>
      </c>
      <c r="B45" s="524" t="s">
        <v>100</v>
      </c>
      <c r="C45" s="525">
        <v>0</v>
      </c>
      <c r="D45" s="525">
        <v>0</v>
      </c>
      <c r="E45" s="525">
        <v>0</v>
      </c>
      <c r="F45" s="525">
        <v>0</v>
      </c>
      <c r="G45" s="526">
        <f t="shared" si="4"/>
        <v>0</v>
      </c>
      <c r="H45" s="526"/>
      <c r="I45" s="526"/>
      <c r="J45" s="526"/>
      <c r="K45" s="526">
        <f t="shared" si="6"/>
        <v>0</v>
      </c>
      <c r="L45" s="526"/>
      <c r="M45" s="526"/>
      <c r="N45" s="525">
        <v>620.15</v>
      </c>
      <c r="O45" s="525">
        <v>1070.3499999999999</v>
      </c>
      <c r="P45" s="525">
        <v>100</v>
      </c>
      <c r="Q45" s="525">
        <v>3464.98</v>
      </c>
      <c r="R45" s="526">
        <f t="shared" si="7"/>
        <v>5255.48</v>
      </c>
      <c r="S45" s="525"/>
      <c r="T45" s="525"/>
      <c r="U45" s="525"/>
      <c r="V45" s="525"/>
      <c r="W45" s="525"/>
      <c r="X45" s="525"/>
      <c r="Y45" s="525"/>
      <c r="Z45" s="525"/>
      <c r="AA45" s="525"/>
      <c r="AB45" s="527">
        <f t="shared" si="5"/>
        <v>5255.48</v>
      </c>
      <c r="AC45" s="1"/>
    </row>
    <row r="46" spans="1:29" s="493" customFormat="1" ht="17.25" thickBot="1" x14ac:dyDescent="0.35">
      <c r="A46" s="528">
        <v>54115</v>
      </c>
      <c r="B46" s="524" t="s">
        <v>101</v>
      </c>
      <c r="C46" s="525">
        <v>0</v>
      </c>
      <c r="D46" s="525">
        <v>0</v>
      </c>
      <c r="E46" s="525">
        <v>0</v>
      </c>
      <c r="F46" s="525">
        <v>0</v>
      </c>
      <c r="G46" s="526">
        <f t="shared" si="4"/>
        <v>0</v>
      </c>
      <c r="H46" s="526"/>
      <c r="I46" s="526"/>
      <c r="J46" s="526"/>
      <c r="K46" s="526">
        <f t="shared" si="6"/>
        <v>0</v>
      </c>
      <c r="L46" s="526"/>
      <c r="M46" s="526"/>
      <c r="N46" s="525">
        <v>1239.5999999999999</v>
      </c>
      <c r="O46" s="525">
        <v>3995.96</v>
      </c>
      <c r="P46" s="525">
        <v>1599</v>
      </c>
      <c r="Q46" s="525">
        <v>2424.48</v>
      </c>
      <c r="R46" s="526">
        <f t="shared" si="7"/>
        <v>9259.0399999999991</v>
      </c>
      <c r="S46" s="525"/>
      <c r="T46" s="525"/>
      <c r="U46" s="525"/>
      <c r="V46" s="525"/>
      <c r="W46" s="525"/>
      <c r="X46" s="525"/>
      <c r="Y46" s="525"/>
      <c r="Z46" s="525"/>
      <c r="AA46" s="525"/>
      <c r="AB46" s="527">
        <f t="shared" si="5"/>
        <v>9259.0399999999991</v>
      </c>
      <c r="AC46" s="529"/>
    </row>
    <row r="47" spans="1:29" ht="27" thickBot="1" x14ac:dyDescent="0.35">
      <c r="A47" s="355">
        <v>54116</v>
      </c>
      <c r="B47" s="451" t="s">
        <v>207</v>
      </c>
      <c r="C47" s="353"/>
      <c r="D47" s="353"/>
      <c r="E47" s="353"/>
      <c r="F47" s="353"/>
      <c r="G47" s="352">
        <f t="shared" si="4"/>
        <v>0</v>
      </c>
      <c r="H47" s="352"/>
      <c r="I47" s="352"/>
      <c r="J47" s="352"/>
      <c r="K47" s="352">
        <f t="shared" si="6"/>
        <v>0</v>
      </c>
      <c r="L47" s="352"/>
      <c r="M47" s="352"/>
      <c r="N47" s="353"/>
      <c r="O47" s="353"/>
      <c r="P47" s="353"/>
      <c r="Q47" s="353"/>
      <c r="R47" s="352">
        <f t="shared" si="7"/>
        <v>0</v>
      </c>
      <c r="S47" s="353"/>
      <c r="T47" s="353"/>
      <c r="U47" s="353"/>
      <c r="V47" s="353"/>
      <c r="W47" s="353"/>
      <c r="X47" s="353"/>
      <c r="Y47" s="353"/>
      <c r="Z47" s="353"/>
      <c r="AA47" s="353"/>
      <c r="AB47" s="349">
        <f t="shared" si="5"/>
        <v>0</v>
      </c>
      <c r="AC47" s="1"/>
    </row>
    <row r="48" spans="1:29" ht="27" thickBot="1" x14ac:dyDescent="0.35">
      <c r="A48" s="355">
        <v>54117</v>
      </c>
      <c r="B48" s="451" t="s">
        <v>102</v>
      </c>
      <c r="C48" s="353"/>
      <c r="D48" s="353"/>
      <c r="E48" s="353"/>
      <c r="F48" s="353">
        <v>0</v>
      </c>
      <c r="G48" s="352">
        <f t="shared" si="4"/>
        <v>0</v>
      </c>
      <c r="H48" s="353"/>
      <c r="I48" s="353"/>
      <c r="J48" s="353"/>
      <c r="K48" s="352">
        <f t="shared" si="6"/>
        <v>0</v>
      </c>
      <c r="L48" s="352"/>
      <c r="M48" s="352"/>
      <c r="N48" s="353"/>
      <c r="O48" s="353">
        <f>+'[3]grupo por linea'!$W$173</f>
        <v>0</v>
      </c>
      <c r="P48" s="353">
        <f>+'[3]grupo por linea'!$AB$173</f>
        <v>0</v>
      </c>
      <c r="Q48" s="353">
        <v>500</v>
      </c>
      <c r="R48" s="352">
        <f t="shared" si="7"/>
        <v>500</v>
      </c>
      <c r="S48" s="353"/>
      <c r="T48" s="353"/>
      <c r="U48" s="353"/>
      <c r="V48" s="353"/>
      <c r="W48" s="353"/>
      <c r="X48" s="353"/>
      <c r="Y48" s="353"/>
      <c r="Z48" s="353"/>
      <c r="AA48" s="353"/>
      <c r="AB48" s="349">
        <f t="shared" si="5"/>
        <v>500</v>
      </c>
      <c r="AC48" s="1"/>
    </row>
    <row r="49" spans="1:29" s="493" customFormat="1" ht="27" thickBot="1" x14ac:dyDescent="0.35">
      <c r="A49" s="528">
        <v>54118</v>
      </c>
      <c r="B49" s="524" t="s">
        <v>208</v>
      </c>
      <c r="C49" s="525"/>
      <c r="D49" s="525"/>
      <c r="E49" s="525"/>
      <c r="F49" s="525">
        <v>0</v>
      </c>
      <c r="G49" s="526">
        <f t="shared" si="4"/>
        <v>0</v>
      </c>
      <c r="H49" s="525"/>
      <c r="I49" s="525"/>
      <c r="J49" s="525"/>
      <c r="K49" s="526">
        <f t="shared" si="6"/>
        <v>0</v>
      </c>
      <c r="L49" s="526"/>
      <c r="M49" s="526"/>
      <c r="N49" s="525">
        <v>489</v>
      </c>
      <c r="O49" s="525">
        <f>+'[3]grupo por linea'!$W$201</f>
        <v>0</v>
      </c>
      <c r="P49" s="525">
        <f>+'[3]grupo por linea'!$AB$201</f>
        <v>0</v>
      </c>
      <c r="Q49" s="525">
        <v>7909.81</v>
      </c>
      <c r="R49" s="526">
        <f t="shared" si="7"/>
        <v>8398.8100000000013</v>
      </c>
      <c r="S49" s="525"/>
      <c r="T49" s="525"/>
      <c r="U49" s="525"/>
      <c r="V49" s="525"/>
      <c r="W49" s="525"/>
      <c r="X49" s="525"/>
      <c r="Y49" s="525"/>
      <c r="Z49" s="525"/>
      <c r="AA49" s="525"/>
      <c r="AB49" s="527">
        <f t="shared" si="5"/>
        <v>8398.8100000000013</v>
      </c>
      <c r="AC49" s="529"/>
    </row>
    <row r="50" spans="1:29" ht="17.25" thickBot="1" x14ac:dyDescent="0.35">
      <c r="A50" s="355">
        <v>54119</v>
      </c>
      <c r="B50" s="451" t="s">
        <v>104</v>
      </c>
      <c r="C50" s="353"/>
      <c r="D50" s="353"/>
      <c r="E50" s="353"/>
      <c r="F50" s="353">
        <v>0</v>
      </c>
      <c r="G50" s="352">
        <f t="shared" si="4"/>
        <v>0</v>
      </c>
      <c r="H50" s="353"/>
      <c r="I50" s="353"/>
      <c r="J50" s="353"/>
      <c r="K50" s="352">
        <f t="shared" si="6"/>
        <v>0</v>
      </c>
      <c r="L50" s="352"/>
      <c r="M50" s="352"/>
      <c r="N50" s="353">
        <f>+'[3]grupo por linea'!$O$211</f>
        <v>0</v>
      </c>
      <c r="O50" s="353">
        <f>+'[3]grupo por linea'!$W$211</f>
        <v>0</v>
      </c>
      <c r="P50" s="353">
        <f>+'[3]grupo por linea'!$AB$211</f>
        <v>0</v>
      </c>
      <c r="Q50" s="353">
        <v>16215.5</v>
      </c>
      <c r="R50" s="352">
        <f t="shared" si="7"/>
        <v>16215.5</v>
      </c>
      <c r="S50" s="353"/>
      <c r="T50" s="353"/>
      <c r="U50" s="353"/>
      <c r="V50" s="353"/>
      <c r="W50" s="353"/>
      <c r="X50" s="353"/>
      <c r="Y50" s="353"/>
      <c r="Z50" s="353"/>
      <c r="AA50" s="353"/>
      <c r="AB50" s="349">
        <f t="shared" si="5"/>
        <v>16215.5</v>
      </c>
      <c r="AC50" s="1"/>
    </row>
    <row r="51" spans="1:29" ht="17.25" thickBot="1" x14ac:dyDescent="0.35">
      <c r="A51" s="355">
        <v>54121</v>
      </c>
      <c r="B51" s="451" t="s">
        <v>105</v>
      </c>
      <c r="C51" s="353"/>
      <c r="D51" s="353">
        <v>0</v>
      </c>
      <c r="E51" s="353"/>
      <c r="F51" s="353"/>
      <c r="G51" s="352">
        <f t="shared" si="4"/>
        <v>0</v>
      </c>
      <c r="H51" s="353"/>
      <c r="I51" s="353"/>
      <c r="J51" s="353"/>
      <c r="K51" s="352">
        <f t="shared" si="6"/>
        <v>0</v>
      </c>
      <c r="L51" s="352"/>
      <c r="M51" s="352"/>
      <c r="N51" s="353"/>
      <c r="O51" s="353">
        <v>33444</v>
      </c>
      <c r="P51" s="353"/>
      <c r="Q51" s="353"/>
      <c r="R51" s="352">
        <f t="shared" si="7"/>
        <v>33444</v>
      </c>
      <c r="S51" s="353"/>
      <c r="T51" s="353"/>
      <c r="U51" s="353"/>
      <c r="V51" s="353"/>
      <c r="W51" s="353"/>
      <c r="X51" s="353"/>
      <c r="Y51" s="353"/>
      <c r="Z51" s="353"/>
      <c r="AA51" s="353"/>
      <c r="AB51" s="349">
        <f t="shared" si="5"/>
        <v>33444</v>
      </c>
      <c r="AC51" s="1"/>
    </row>
    <row r="52" spans="1:29" s="493" customFormat="1" ht="17.25" thickBot="1" x14ac:dyDescent="0.35">
      <c r="A52" s="566">
        <v>54199</v>
      </c>
      <c r="B52" s="524" t="s">
        <v>209</v>
      </c>
      <c r="C52" s="525"/>
      <c r="D52" s="525">
        <v>0</v>
      </c>
      <c r="E52" s="525">
        <v>0</v>
      </c>
      <c r="F52" s="525">
        <v>0</v>
      </c>
      <c r="G52" s="526">
        <f t="shared" si="4"/>
        <v>0</v>
      </c>
      <c r="H52" s="525"/>
      <c r="I52" s="525"/>
      <c r="J52" s="525"/>
      <c r="K52" s="526">
        <f t="shared" si="6"/>
        <v>0</v>
      </c>
      <c r="L52" s="526"/>
      <c r="M52" s="526"/>
      <c r="N52" s="525">
        <v>500</v>
      </c>
      <c r="O52" s="525">
        <v>400</v>
      </c>
      <c r="P52" s="525">
        <v>100</v>
      </c>
      <c r="Q52" s="525">
        <v>2536.08</v>
      </c>
      <c r="R52" s="526">
        <f t="shared" si="7"/>
        <v>3536.08</v>
      </c>
      <c r="S52" s="525"/>
      <c r="T52" s="525"/>
      <c r="U52" s="525"/>
      <c r="V52" s="525"/>
      <c r="W52" s="525"/>
      <c r="X52" s="525"/>
      <c r="Y52" s="525"/>
      <c r="Z52" s="525"/>
      <c r="AA52" s="525"/>
      <c r="AB52" s="349">
        <f>+G52+K52+L52+M52+R52+U52+X52+AA52</f>
        <v>3536.08</v>
      </c>
      <c r="AC52" s="529"/>
    </row>
    <row r="53" spans="1:29" ht="17.25" thickBot="1" x14ac:dyDescent="0.35">
      <c r="A53" s="350">
        <v>542</v>
      </c>
      <c r="B53" s="452" t="s">
        <v>47</v>
      </c>
      <c r="C53" s="352">
        <f>SUM(C54:C58)</f>
        <v>0</v>
      </c>
      <c r="D53" s="352">
        <f>SUM(D54:D58)</f>
        <v>408000</v>
      </c>
      <c r="E53" s="352">
        <f>SUM(E54:E58)</f>
        <v>0</v>
      </c>
      <c r="F53" s="352">
        <f>SUM(F54:F58)</f>
        <v>0</v>
      </c>
      <c r="G53" s="352">
        <f t="shared" si="4"/>
        <v>408000</v>
      </c>
      <c r="H53" s="353"/>
      <c r="I53" s="353"/>
      <c r="J53" s="353"/>
      <c r="K53" s="352">
        <f t="shared" si="6"/>
        <v>0</v>
      </c>
      <c r="L53" s="352"/>
      <c r="M53" s="352"/>
      <c r="N53" s="352">
        <f>SUM(N54:N58)</f>
        <v>0</v>
      </c>
      <c r="O53" s="352">
        <f>SUM(O54:O58)</f>
        <v>19600</v>
      </c>
      <c r="P53" s="352">
        <f>SUM(P54:P58)</f>
        <v>0</v>
      </c>
      <c r="Q53" s="352">
        <f>SUM(Q54:Q58)</f>
        <v>0</v>
      </c>
      <c r="R53" s="352">
        <f t="shared" si="7"/>
        <v>19600</v>
      </c>
      <c r="S53" s="353"/>
      <c r="T53" s="353"/>
      <c r="U53" s="353"/>
      <c r="V53" s="353"/>
      <c r="W53" s="353"/>
      <c r="X53" s="353"/>
      <c r="Y53" s="353"/>
      <c r="Z53" s="353"/>
      <c r="AA53" s="353"/>
      <c r="AB53" s="349">
        <f t="shared" si="5"/>
        <v>427600</v>
      </c>
      <c r="AC53" s="1"/>
    </row>
    <row r="54" spans="1:29" ht="17.25" thickBot="1" x14ac:dyDescent="0.35">
      <c r="A54" s="355">
        <v>54201</v>
      </c>
      <c r="B54" s="451" t="s">
        <v>107</v>
      </c>
      <c r="C54" s="353"/>
      <c r="D54" s="353">
        <v>294000</v>
      </c>
      <c r="E54" s="353"/>
      <c r="F54" s="353"/>
      <c r="G54" s="352">
        <v>294000</v>
      </c>
      <c r="H54" s="353"/>
      <c r="I54" s="353"/>
      <c r="J54" s="353"/>
      <c r="K54" s="352">
        <f t="shared" si="6"/>
        <v>0</v>
      </c>
      <c r="L54" s="352"/>
      <c r="M54" s="352"/>
      <c r="N54" s="353"/>
      <c r="O54" s="353">
        <v>4000</v>
      </c>
      <c r="P54" s="353"/>
      <c r="Q54" s="353">
        <v>0</v>
      </c>
      <c r="R54" s="352">
        <f t="shared" si="7"/>
        <v>4000</v>
      </c>
      <c r="S54" s="353"/>
      <c r="T54" s="353"/>
      <c r="U54" s="353"/>
      <c r="V54" s="353"/>
      <c r="W54" s="353"/>
      <c r="X54" s="353"/>
      <c r="Y54" s="353"/>
      <c r="Z54" s="353"/>
      <c r="AA54" s="353"/>
      <c r="AB54" s="349">
        <f t="shared" si="5"/>
        <v>298000</v>
      </c>
      <c r="AC54" s="1"/>
    </row>
    <row r="55" spans="1:29" ht="17.25" thickBot="1" x14ac:dyDescent="0.35">
      <c r="A55" s="355">
        <v>54202</v>
      </c>
      <c r="B55" s="451" t="s">
        <v>108</v>
      </c>
      <c r="C55" s="353"/>
      <c r="D55" s="353"/>
      <c r="E55" s="353"/>
      <c r="F55" s="353">
        <v>0</v>
      </c>
      <c r="G55" s="352">
        <f t="shared" si="4"/>
        <v>0</v>
      </c>
      <c r="H55" s="353"/>
      <c r="I55" s="353"/>
      <c r="J55" s="353"/>
      <c r="K55" s="352">
        <f t="shared" si="6"/>
        <v>0</v>
      </c>
      <c r="L55" s="352"/>
      <c r="M55" s="352"/>
      <c r="N55" s="353"/>
      <c r="O55" s="353">
        <v>3600</v>
      </c>
      <c r="P55" s="353"/>
      <c r="Q55" s="353"/>
      <c r="R55" s="352">
        <f t="shared" si="7"/>
        <v>3600</v>
      </c>
      <c r="S55" s="353"/>
      <c r="T55" s="353"/>
      <c r="U55" s="353"/>
      <c r="V55" s="353"/>
      <c r="W55" s="353"/>
      <c r="X55" s="353"/>
      <c r="Y55" s="353"/>
      <c r="Z55" s="353"/>
      <c r="AA55" s="353"/>
      <c r="AB55" s="349">
        <f t="shared" si="5"/>
        <v>3600</v>
      </c>
      <c r="AC55" s="1"/>
    </row>
    <row r="56" spans="1:29" ht="17.25" thickBot="1" x14ac:dyDescent="0.35">
      <c r="A56" s="355">
        <v>54203</v>
      </c>
      <c r="B56" s="451" t="s">
        <v>109</v>
      </c>
      <c r="C56" s="353"/>
      <c r="D56" s="353"/>
      <c r="E56" s="353"/>
      <c r="F56" s="353">
        <v>0</v>
      </c>
      <c r="G56" s="352">
        <f t="shared" si="4"/>
        <v>0</v>
      </c>
      <c r="H56" s="353"/>
      <c r="I56" s="353"/>
      <c r="J56" s="353"/>
      <c r="K56" s="352">
        <f t="shared" si="6"/>
        <v>0</v>
      </c>
      <c r="L56" s="352"/>
      <c r="M56" s="352"/>
      <c r="N56" s="353"/>
      <c r="O56" s="353">
        <v>10000</v>
      </c>
      <c r="P56" s="353"/>
      <c r="Q56" s="353"/>
      <c r="R56" s="352">
        <f t="shared" si="7"/>
        <v>10000</v>
      </c>
      <c r="S56" s="353"/>
      <c r="T56" s="353"/>
      <c r="U56" s="353"/>
      <c r="V56" s="353"/>
      <c r="W56" s="353"/>
      <c r="X56" s="353"/>
      <c r="Y56" s="353"/>
      <c r="Z56" s="353"/>
      <c r="AA56" s="353"/>
      <c r="AB56" s="349">
        <f t="shared" si="5"/>
        <v>10000</v>
      </c>
      <c r="AC56" s="1"/>
    </row>
    <row r="57" spans="1:29" ht="17.25" thickBot="1" x14ac:dyDescent="0.35">
      <c r="A57" s="355">
        <v>54204</v>
      </c>
      <c r="B57" s="451" t="s">
        <v>210</v>
      </c>
      <c r="C57" s="353"/>
      <c r="D57" s="353"/>
      <c r="E57" s="353"/>
      <c r="F57" s="353"/>
      <c r="G57" s="352">
        <f t="shared" si="4"/>
        <v>0</v>
      </c>
      <c r="H57" s="353"/>
      <c r="I57" s="353"/>
      <c r="J57" s="353"/>
      <c r="K57" s="352">
        <f t="shared" si="6"/>
        <v>0</v>
      </c>
      <c r="L57" s="352"/>
      <c r="M57" s="352"/>
      <c r="N57" s="353"/>
      <c r="O57" s="353"/>
      <c r="P57" s="353"/>
      <c r="Q57" s="353"/>
      <c r="R57" s="352">
        <f t="shared" si="7"/>
        <v>0</v>
      </c>
      <c r="S57" s="353"/>
      <c r="T57" s="353"/>
      <c r="U57" s="353"/>
      <c r="V57" s="353"/>
      <c r="W57" s="353"/>
      <c r="X57" s="353"/>
      <c r="Y57" s="353"/>
      <c r="Z57" s="353"/>
      <c r="AA57" s="353"/>
      <c r="AB57" s="349">
        <f t="shared" si="5"/>
        <v>0</v>
      </c>
      <c r="AC57" s="1"/>
    </row>
    <row r="58" spans="1:29" ht="17.25" thickBot="1" x14ac:dyDescent="0.35">
      <c r="A58" s="355">
        <v>54205</v>
      </c>
      <c r="B58" s="451" t="s">
        <v>30</v>
      </c>
      <c r="C58" s="353"/>
      <c r="D58" s="353">
        <v>114000</v>
      </c>
      <c r="E58" s="353"/>
      <c r="F58" s="353"/>
      <c r="G58" s="352">
        <f t="shared" si="4"/>
        <v>114000</v>
      </c>
      <c r="H58" s="353"/>
      <c r="I58" s="353"/>
      <c r="J58" s="353"/>
      <c r="K58" s="352">
        <f t="shared" si="6"/>
        <v>0</v>
      </c>
      <c r="L58" s="352"/>
      <c r="M58" s="352"/>
      <c r="N58" s="353"/>
      <c r="O58" s="353">
        <v>2000</v>
      </c>
      <c r="P58" s="353"/>
      <c r="Q58" s="353"/>
      <c r="R58" s="352">
        <f t="shared" si="7"/>
        <v>2000</v>
      </c>
      <c r="S58" s="353"/>
      <c r="T58" s="353"/>
      <c r="U58" s="353"/>
      <c r="V58" s="353"/>
      <c r="W58" s="353"/>
      <c r="X58" s="353"/>
      <c r="Y58" s="353"/>
      <c r="Z58" s="353"/>
      <c r="AA58" s="353"/>
      <c r="AB58" s="349">
        <f t="shared" si="5"/>
        <v>116000</v>
      </c>
      <c r="AC58" s="1"/>
    </row>
    <row r="59" spans="1:29" ht="27" thickBot="1" x14ac:dyDescent="0.35">
      <c r="A59" s="350">
        <v>543</v>
      </c>
      <c r="B59" s="452" t="s">
        <v>211</v>
      </c>
      <c r="C59" s="352">
        <f>SUM(C60:C74)</f>
        <v>0</v>
      </c>
      <c r="D59" s="352">
        <f>SUM(D60:D74)</f>
        <v>0</v>
      </c>
      <c r="E59" s="352">
        <f>SUM(E60:E74)</f>
        <v>0</v>
      </c>
      <c r="F59" s="352">
        <f>SUM(F60:F74)</f>
        <v>0</v>
      </c>
      <c r="G59" s="352">
        <f t="shared" si="4"/>
        <v>0</v>
      </c>
      <c r="H59" s="352">
        <f>SUM(H60:H74)</f>
        <v>0</v>
      </c>
      <c r="I59" s="352">
        <f>SUM(I60:I74)</f>
        <v>14000</v>
      </c>
      <c r="J59" s="352">
        <f>SUM(J60:J74)</f>
        <v>0</v>
      </c>
      <c r="K59" s="352">
        <f t="shared" si="6"/>
        <v>14000</v>
      </c>
      <c r="L59" s="352"/>
      <c r="M59" s="352"/>
      <c r="N59" s="352">
        <f>SUM(N60:N74)</f>
        <v>13600</v>
      </c>
      <c r="O59" s="352">
        <f>SUM(O60:O74)</f>
        <v>4205</v>
      </c>
      <c r="P59" s="352">
        <f>SUM(P60:P74)</f>
        <v>1310</v>
      </c>
      <c r="Q59" s="352">
        <f>SUM(Q60:Q74)</f>
        <v>17766</v>
      </c>
      <c r="R59" s="352">
        <f t="shared" si="7"/>
        <v>36881</v>
      </c>
      <c r="S59" s="352">
        <f t="shared" ref="S59:AA59" si="8">SUM(S60:S74)</f>
        <v>0</v>
      </c>
      <c r="T59" s="352">
        <f t="shared" si="8"/>
        <v>0</v>
      </c>
      <c r="U59" s="352">
        <f t="shared" si="8"/>
        <v>0</v>
      </c>
      <c r="V59" s="352">
        <f t="shared" si="8"/>
        <v>0</v>
      </c>
      <c r="W59" s="352">
        <f t="shared" si="8"/>
        <v>0</v>
      </c>
      <c r="X59" s="352">
        <f t="shared" si="8"/>
        <v>0</v>
      </c>
      <c r="Y59" s="352">
        <f t="shared" si="8"/>
        <v>0</v>
      </c>
      <c r="Z59" s="352">
        <f t="shared" si="8"/>
        <v>0</v>
      </c>
      <c r="AA59" s="352">
        <f t="shared" si="8"/>
        <v>0</v>
      </c>
      <c r="AB59" s="349">
        <f t="shared" si="5"/>
        <v>50881</v>
      </c>
      <c r="AC59" s="1"/>
    </row>
    <row r="60" spans="1:29" ht="27" thickBot="1" x14ac:dyDescent="0.35">
      <c r="A60" s="355">
        <v>54301</v>
      </c>
      <c r="B60" s="451" t="s">
        <v>212</v>
      </c>
      <c r="C60" s="353">
        <v>0</v>
      </c>
      <c r="D60" s="353">
        <v>0</v>
      </c>
      <c r="E60" s="353">
        <v>0</v>
      </c>
      <c r="F60" s="353">
        <v>0</v>
      </c>
      <c r="G60" s="352">
        <f t="shared" si="4"/>
        <v>0</v>
      </c>
      <c r="H60" s="353"/>
      <c r="I60" s="353"/>
      <c r="J60" s="353"/>
      <c r="K60" s="352">
        <f t="shared" si="6"/>
        <v>0</v>
      </c>
      <c r="L60" s="352"/>
      <c r="M60" s="352"/>
      <c r="N60" s="353">
        <f>+'[3]grupo por linea'!$O$233</f>
        <v>600</v>
      </c>
      <c r="O60" s="353">
        <f>+'[3]grupo por linea'!$W$233</f>
        <v>2205</v>
      </c>
      <c r="P60" s="353">
        <f>+'[3]grupo por linea'!$AB$233</f>
        <v>1310</v>
      </c>
      <c r="Q60" s="353">
        <f>+'[3]grupo por linea'!$AW$233</f>
        <v>2550</v>
      </c>
      <c r="R60" s="352">
        <f t="shared" si="7"/>
        <v>6665</v>
      </c>
      <c r="S60" s="353"/>
      <c r="T60" s="353"/>
      <c r="U60" s="353"/>
      <c r="V60" s="353"/>
      <c r="W60" s="353"/>
      <c r="X60" s="353"/>
      <c r="Y60" s="353"/>
      <c r="Z60" s="353"/>
      <c r="AA60" s="353"/>
      <c r="AB60" s="349">
        <f t="shared" si="5"/>
        <v>6665</v>
      </c>
      <c r="AC60" s="1"/>
    </row>
    <row r="61" spans="1:29" ht="27" thickBot="1" x14ac:dyDescent="0.35">
      <c r="A61" s="355">
        <v>54302</v>
      </c>
      <c r="B61" s="451" t="s">
        <v>213</v>
      </c>
      <c r="C61" s="353">
        <v>0</v>
      </c>
      <c r="D61" s="353"/>
      <c r="E61" s="353"/>
      <c r="F61" s="353">
        <v>0</v>
      </c>
      <c r="G61" s="352">
        <f t="shared" si="4"/>
        <v>0</v>
      </c>
      <c r="H61" s="353"/>
      <c r="I61" s="353">
        <v>14000</v>
      </c>
      <c r="J61" s="353"/>
      <c r="K61" s="352">
        <f t="shared" si="6"/>
        <v>14000</v>
      </c>
      <c r="L61" s="352"/>
      <c r="M61" s="352"/>
      <c r="N61" s="353">
        <v>1000</v>
      </c>
      <c r="O61" s="353"/>
      <c r="P61" s="353"/>
      <c r="Q61" s="353">
        <v>12000</v>
      </c>
      <c r="R61" s="352">
        <f t="shared" si="7"/>
        <v>13000</v>
      </c>
      <c r="S61" s="353"/>
      <c r="T61" s="353"/>
      <c r="U61" s="353"/>
      <c r="V61" s="353"/>
      <c r="W61" s="353"/>
      <c r="X61" s="353"/>
      <c r="Y61" s="353"/>
      <c r="Z61" s="353"/>
      <c r="AA61" s="353"/>
      <c r="AB61" s="349">
        <f t="shared" si="5"/>
        <v>27000</v>
      </c>
      <c r="AC61" s="1"/>
    </row>
    <row r="62" spans="1:29" ht="27" thickBot="1" x14ac:dyDescent="0.35">
      <c r="A62" s="355">
        <v>54303</v>
      </c>
      <c r="B62" s="451" t="s">
        <v>214</v>
      </c>
      <c r="C62" s="353"/>
      <c r="D62" s="353"/>
      <c r="E62" s="353"/>
      <c r="F62" s="353">
        <v>0</v>
      </c>
      <c r="G62" s="352">
        <f t="shared" si="4"/>
        <v>0</v>
      </c>
      <c r="H62" s="353"/>
      <c r="I62" s="353"/>
      <c r="J62" s="353"/>
      <c r="K62" s="352">
        <f t="shared" si="6"/>
        <v>0</v>
      </c>
      <c r="L62" s="352"/>
      <c r="M62" s="352"/>
      <c r="N62" s="353">
        <v>1000</v>
      </c>
      <c r="O62" s="353"/>
      <c r="P62" s="353"/>
      <c r="Q62" s="353">
        <v>1000</v>
      </c>
      <c r="R62" s="352">
        <f t="shared" si="7"/>
        <v>2000</v>
      </c>
      <c r="S62" s="353"/>
      <c r="T62" s="353"/>
      <c r="U62" s="353"/>
      <c r="V62" s="353"/>
      <c r="W62" s="353"/>
      <c r="X62" s="353"/>
      <c r="Y62" s="353"/>
      <c r="Z62" s="353"/>
      <c r="AA62" s="353"/>
      <c r="AB62" s="349">
        <f t="shared" si="5"/>
        <v>2000</v>
      </c>
      <c r="AC62" s="1"/>
    </row>
    <row r="63" spans="1:29" ht="27" thickBot="1" x14ac:dyDescent="0.35">
      <c r="A63" s="355">
        <v>54304</v>
      </c>
      <c r="B63" s="451" t="s">
        <v>115</v>
      </c>
      <c r="C63" s="353"/>
      <c r="D63" s="353"/>
      <c r="E63" s="353"/>
      <c r="F63" s="353">
        <v>0</v>
      </c>
      <c r="G63" s="352">
        <f t="shared" si="4"/>
        <v>0</v>
      </c>
      <c r="H63" s="353"/>
      <c r="I63" s="353"/>
      <c r="J63" s="353"/>
      <c r="K63" s="352">
        <f t="shared" si="6"/>
        <v>0</v>
      </c>
      <c r="L63" s="352"/>
      <c r="M63" s="352"/>
      <c r="N63" s="353"/>
      <c r="O63" s="353"/>
      <c r="P63" s="353"/>
      <c r="Q63" s="353">
        <v>1000</v>
      </c>
      <c r="R63" s="352">
        <f t="shared" si="7"/>
        <v>1000</v>
      </c>
      <c r="S63" s="353"/>
      <c r="T63" s="353"/>
      <c r="U63" s="353"/>
      <c r="V63" s="353"/>
      <c r="W63" s="353"/>
      <c r="X63" s="353"/>
      <c r="Y63" s="353"/>
      <c r="Z63" s="353"/>
      <c r="AA63" s="353"/>
      <c r="AB63" s="349">
        <f t="shared" si="5"/>
        <v>1000</v>
      </c>
      <c r="AC63" s="1"/>
    </row>
    <row r="64" spans="1:29" ht="17.25" thickBot="1" x14ac:dyDescent="0.35">
      <c r="A64" s="355">
        <v>54305</v>
      </c>
      <c r="B64" s="451" t="s">
        <v>116</v>
      </c>
      <c r="C64" s="353"/>
      <c r="D64" s="353"/>
      <c r="E64" s="353"/>
      <c r="F64" s="353">
        <v>0</v>
      </c>
      <c r="G64" s="352">
        <f t="shared" ref="G64:G89" si="9">SUM(C64:F64)</f>
        <v>0</v>
      </c>
      <c r="H64" s="353"/>
      <c r="I64" s="353"/>
      <c r="J64" s="353"/>
      <c r="K64" s="352">
        <f t="shared" si="6"/>
        <v>0</v>
      </c>
      <c r="L64" s="352"/>
      <c r="M64" s="352"/>
      <c r="N64" s="353"/>
      <c r="O64" s="353"/>
      <c r="P64" s="353"/>
      <c r="Q64" s="353">
        <v>1000</v>
      </c>
      <c r="R64" s="352">
        <f t="shared" si="7"/>
        <v>1000</v>
      </c>
      <c r="S64" s="353"/>
      <c r="T64" s="353"/>
      <c r="U64" s="353"/>
      <c r="V64" s="353"/>
      <c r="W64" s="353"/>
      <c r="X64" s="353"/>
      <c r="Y64" s="353"/>
      <c r="Z64" s="353"/>
      <c r="AA64" s="353"/>
      <c r="AB64" s="349">
        <f t="shared" ref="AB64:AB95" si="10">+G64+K64+L64+M64+R64+U64+X64+AA64</f>
        <v>1000</v>
      </c>
      <c r="AC64" s="1"/>
    </row>
    <row r="65" spans="1:29" ht="17.25" thickBot="1" x14ac:dyDescent="0.35">
      <c r="A65" s="355">
        <v>54306</v>
      </c>
      <c r="B65" s="451" t="s">
        <v>215</v>
      </c>
      <c r="C65" s="353"/>
      <c r="D65" s="353"/>
      <c r="E65" s="353"/>
      <c r="F65" s="353"/>
      <c r="G65" s="352">
        <f t="shared" si="9"/>
        <v>0</v>
      </c>
      <c r="H65" s="353"/>
      <c r="I65" s="353"/>
      <c r="J65" s="353"/>
      <c r="K65" s="352">
        <f t="shared" si="6"/>
        <v>0</v>
      </c>
      <c r="L65" s="352"/>
      <c r="M65" s="352"/>
      <c r="N65" s="353"/>
      <c r="O65" s="353"/>
      <c r="P65" s="353"/>
      <c r="Q65" s="353"/>
      <c r="R65" s="352">
        <f t="shared" si="7"/>
        <v>0</v>
      </c>
      <c r="S65" s="353"/>
      <c r="T65" s="353"/>
      <c r="U65" s="353"/>
      <c r="V65" s="353"/>
      <c r="W65" s="353"/>
      <c r="X65" s="353"/>
      <c r="Y65" s="353"/>
      <c r="Z65" s="353"/>
      <c r="AA65" s="353"/>
      <c r="AB65" s="349">
        <f t="shared" si="10"/>
        <v>0</v>
      </c>
      <c r="AC65" s="1"/>
    </row>
    <row r="66" spans="1:29" ht="17.25" thickBot="1" x14ac:dyDescent="0.35">
      <c r="A66" s="355">
        <v>54307</v>
      </c>
      <c r="B66" s="451" t="s">
        <v>216</v>
      </c>
      <c r="C66" s="353"/>
      <c r="D66" s="353"/>
      <c r="E66" s="353"/>
      <c r="F66" s="353"/>
      <c r="G66" s="352">
        <f t="shared" si="9"/>
        <v>0</v>
      </c>
      <c r="H66" s="353"/>
      <c r="I66" s="353"/>
      <c r="J66" s="353"/>
      <c r="K66" s="352">
        <f t="shared" si="6"/>
        <v>0</v>
      </c>
      <c r="L66" s="352"/>
      <c r="M66" s="352"/>
      <c r="N66" s="353"/>
      <c r="O66" s="353"/>
      <c r="P66" s="353"/>
      <c r="Q66" s="353"/>
      <c r="R66" s="352">
        <f t="shared" si="7"/>
        <v>0</v>
      </c>
      <c r="S66" s="353"/>
      <c r="T66" s="353"/>
      <c r="U66" s="353"/>
      <c r="V66" s="353"/>
      <c r="W66" s="353"/>
      <c r="X66" s="353"/>
      <c r="Y66" s="353"/>
      <c r="Z66" s="353"/>
      <c r="AA66" s="353"/>
      <c r="AB66" s="349">
        <f t="shared" si="10"/>
        <v>0</v>
      </c>
      <c r="AC66" s="1"/>
    </row>
    <row r="67" spans="1:29" ht="17.25" thickBot="1" x14ac:dyDescent="0.35">
      <c r="A67" s="355">
        <v>54309</v>
      </c>
      <c r="B67" s="451" t="s">
        <v>217</v>
      </c>
      <c r="C67" s="353"/>
      <c r="D67" s="353"/>
      <c r="E67" s="353"/>
      <c r="F67" s="353"/>
      <c r="G67" s="352">
        <f t="shared" si="9"/>
        <v>0</v>
      </c>
      <c r="H67" s="353"/>
      <c r="I67" s="353"/>
      <c r="J67" s="353"/>
      <c r="K67" s="352">
        <f t="shared" si="6"/>
        <v>0</v>
      </c>
      <c r="L67" s="352"/>
      <c r="M67" s="352"/>
      <c r="N67" s="353"/>
      <c r="O67" s="353"/>
      <c r="P67" s="353"/>
      <c r="Q67" s="353"/>
      <c r="R67" s="352">
        <f t="shared" si="7"/>
        <v>0</v>
      </c>
      <c r="S67" s="353"/>
      <c r="T67" s="353"/>
      <c r="U67" s="353"/>
      <c r="V67" s="353"/>
      <c r="W67" s="353"/>
      <c r="X67" s="353"/>
      <c r="Y67" s="353"/>
      <c r="Z67" s="353"/>
      <c r="AA67" s="353"/>
      <c r="AB67" s="349">
        <f t="shared" si="10"/>
        <v>0</v>
      </c>
      <c r="AC67" s="1"/>
    </row>
    <row r="68" spans="1:29" ht="17.25" thickBot="1" x14ac:dyDescent="0.35">
      <c r="A68" s="355">
        <v>54310</v>
      </c>
      <c r="B68" s="451" t="s">
        <v>117</v>
      </c>
      <c r="C68" s="353"/>
      <c r="D68" s="353"/>
      <c r="E68" s="353"/>
      <c r="F68" s="353">
        <v>0</v>
      </c>
      <c r="G68" s="352">
        <f t="shared" si="9"/>
        <v>0</v>
      </c>
      <c r="H68" s="353"/>
      <c r="I68" s="353"/>
      <c r="J68" s="353"/>
      <c r="K68" s="352">
        <f t="shared" si="6"/>
        <v>0</v>
      </c>
      <c r="L68" s="352"/>
      <c r="M68" s="352"/>
      <c r="N68" s="353">
        <v>1000</v>
      </c>
      <c r="O68" s="353"/>
      <c r="P68" s="353"/>
      <c r="Q68" s="353"/>
      <c r="R68" s="352">
        <f t="shared" si="7"/>
        <v>1000</v>
      </c>
      <c r="S68" s="353"/>
      <c r="T68" s="353"/>
      <c r="U68" s="353"/>
      <c r="V68" s="353"/>
      <c r="W68" s="353"/>
      <c r="X68" s="353"/>
      <c r="Y68" s="353"/>
      <c r="Z68" s="353"/>
      <c r="AA68" s="353"/>
      <c r="AB68" s="349">
        <f t="shared" si="10"/>
        <v>1000</v>
      </c>
      <c r="AC68" s="1"/>
    </row>
    <row r="69" spans="1:29" ht="17.25" thickBot="1" x14ac:dyDescent="0.35">
      <c r="A69" s="355">
        <v>54311</v>
      </c>
      <c r="B69" s="451" t="s">
        <v>118</v>
      </c>
      <c r="C69" s="353"/>
      <c r="D69" s="353"/>
      <c r="E69" s="353"/>
      <c r="F69" s="353">
        <v>0</v>
      </c>
      <c r="G69" s="352">
        <f t="shared" si="9"/>
        <v>0</v>
      </c>
      <c r="H69" s="353"/>
      <c r="I69" s="353"/>
      <c r="J69" s="353"/>
      <c r="K69" s="352">
        <f t="shared" si="6"/>
        <v>0</v>
      </c>
      <c r="L69" s="352"/>
      <c r="M69" s="352"/>
      <c r="N69" s="353"/>
      <c r="O69" s="353"/>
      <c r="P69" s="353"/>
      <c r="Q69" s="353"/>
      <c r="R69" s="352">
        <f t="shared" si="7"/>
        <v>0</v>
      </c>
      <c r="S69" s="353"/>
      <c r="T69" s="353"/>
      <c r="U69" s="353"/>
      <c r="V69" s="353"/>
      <c r="W69" s="353"/>
      <c r="X69" s="353"/>
      <c r="Y69" s="353"/>
      <c r="Z69" s="353"/>
      <c r="AA69" s="353"/>
      <c r="AB69" s="349">
        <f t="shared" si="10"/>
        <v>0</v>
      </c>
      <c r="AC69" s="1"/>
    </row>
    <row r="70" spans="1:29" ht="27" thickBot="1" x14ac:dyDescent="0.35">
      <c r="A70" s="355">
        <v>54313</v>
      </c>
      <c r="B70" s="451" t="s">
        <v>218</v>
      </c>
      <c r="C70" s="353"/>
      <c r="D70" s="353"/>
      <c r="E70" s="353"/>
      <c r="F70" s="353">
        <v>0</v>
      </c>
      <c r="G70" s="352">
        <f t="shared" si="9"/>
        <v>0</v>
      </c>
      <c r="H70" s="353"/>
      <c r="I70" s="353"/>
      <c r="J70" s="353"/>
      <c r="K70" s="352">
        <f t="shared" si="6"/>
        <v>0</v>
      </c>
      <c r="L70" s="352"/>
      <c r="M70" s="352"/>
      <c r="N70" s="353">
        <v>1000</v>
      </c>
      <c r="O70" s="353"/>
      <c r="P70" s="353"/>
      <c r="Q70" s="353">
        <f>+'[3]grupo por linea'!$AW$241</f>
        <v>216</v>
      </c>
      <c r="R70" s="352">
        <f t="shared" si="7"/>
        <v>1216</v>
      </c>
      <c r="S70" s="353"/>
      <c r="T70" s="353"/>
      <c r="U70" s="353"/>
      <c r="V70" s="353"/>
      <c r="W70" s="353"/>
      <c r="X70" s="353"/>
      <c r="Y70" s="353"/>
      <c r="Z70" s="353"/>
      <c r="AA70" s="353"/>
      <c r="AB70" s="349">
        <f t="shared" si="10"/>
        <v>1216</v>
      </c>
      <c r="AC70" s="1"/>
    </row>
    <row r="71" spans="1:29" ht="17.25" thickBot="1" x14ac:dyDescent="0.35">
      <c r="A71" s="355">
        <v>54314</v>
      </c>
      <c r="B71" s="451" t="s">
        <v>120</v>
      </c>
      <c r="C71" s="353">
        <v>0</v>
      </c>
      <c r="D71" s="353"/>
      <c r="E71" s="353"/>
      <c r="F71" s="353"/>
      <c r="G71" s="352">
        <f t="shared" si="9"/>
        <v>0</v>
      </c>
      <c r="H71" s="353"/>
      <c r="I71" s="353"/>
      <c r="J71" s="353"/>
      <c r="K71" s="352">
        <f t="shared" si="6"/>
        <v>0</v>
      </c>
      <c r="L71" s="352"/>
      <c r="M71" s="352"/>
      <c r="N71" s="353">
        <v>2000</v>
      </c>
      <c r="O71" s="353"/>
      <c r="P71" s="353"/>
      <c r="Q71" s="353"/>
      <c r="R71" s="352">
        <f t="shared" si="7"/>
        <v>2000</v>
      </c>
      <c r="S71" s="353"/>
      <c r="T71" s="353"/>
      <c r="U71" s="353"/>
      <c r="V71" s="353"/>
      <c r="W71" s="353"/>
      <c r="X71" s="353"/>
      <c r="Y71" s="353"/>
      <c r="Z71" s="353"/>
      <c r="AA71" s="353"/>
      <c r="AB71" s="349">
        <f t="shared" si="10"/>
        <v>2000</v>
      </c>
      <c r="AC71" s="1"/>
    </row>
    <row r="72" spans="1:29" ht="17.25" thickBot="1" x14ac:dyDescent="0.35">
      <c r="A72" s="355">
        <v>54316</v>
      </c>
      <c r="B72" s="451" t="s">
        <v>121</v>
      </c>
      <c r="C72" s="353"/>
      <c r="D72" s="353">
        <v>0</v>
      </c>
      <c r="E72" s="353"/>
      <c r="F72" s="353"/>
      <c r="G72" s="352">
        <f t="shared" si="9"/>
        <v>0</v>
      </c>
      <c r="H72" s="353"/>
      <c r="I72" s="353"/>
      <c r="J72" s="353"/>
      <c r="K72" s="352">
        <f t="shared" si="6"/>
        <v>0</v>
      </c>
      <c r="L72" s="352"/>
      <c r="M72" s="352"/>
      <c r="N72" s="353">
        <v>1500</v>
      </c>
      <c r="O72" s="353"/>
      <c r="P72" s="353"/>
      <c r="Q72" s="353"/>
      <c r="R72" s="352">
        <f t="shared" si="7"/>
        <v>1500</v>
      </c>
      <c r="S72" s="353"/>
      <c r="T72" s="353"/>
      <c r="U72" s="353"/>
      <c r="V72" s="353"/>
      <c r="W72" s="353"/>
      <c r="X72" s="353"/>
      <c r="Y72" s="353"/>
      <c r="Z72" s="353"/>
      <c r="AA72" s="353"/>
      <c r="AB72" s="349">
        <f t="shared" si="10"/>
        <v>1500</v>
      </c>
      <c r="AC72" s="1"/>
    </row>
    <row r="73" spans="1:29" ht="17.25" thickBot="1" x14ac:dyDescent="0.35">
      <c r="A73" s="355">
        <v>54317</v>
      </c>
      <c r="B73" s="451" t="s">
        <v>122</v>
      </c>
      <c r="C73" s="353"/>
      <c r="D73" s="353">
        <v>0</v>
      </c>
      <c r="E73" s="353"/>
      <c r="F73" s="353"/>
      <c r="G73" s="352">
        <f t="shared" si="9"/>
        <v>0</v>
      </c>
      <c r="H73" s="353"/>
      <c r="I73" s="353"/>
      <c r="J73" s="353"/>
      <c r="K73" s="352">
        <f t="shared" ref="K73:K83" si="11">+H73+I73+J73</f>
        <v>0</v>
      </c>
      <c r="L73" s="352"/>
      <c r="M73" s="352"/>
      <c r="N73" s="353">
        <v>3500</v>
      </c>
      <c r="O73" s="353"/>
      <c r="P73" s="353"/>
      <c r="Q73" s="353"/>
      <c r="R73" s="352">
        <f t="shared" ref="R73:R104" si="12">+N73+O73+P73+Q73</f>
        <v>3500</v>
      </c>
      <c r="S73" s="353"/>
      <c r="T73" s="353"/>
      <c r="U73" s="353"/>
      <c r="V73" s="353"/>
      <c r="W73" s="353"/>
      <c r="X73" s="353"/>
      <c r="Y73" s="353"/>
      <c r="Z73" s="353"/>
      <c r="AA73" s="353"/>
      <c r="AB73" s="349">
        <f t="shared" si="10"/>
        <v>3500</v>
      </c>
      <c r="AC73" s="1"/>
    </row>
    <row r="74" spans="1:29" ht="27" thickBot="1" x14ac:dyDescent="0.35">
      <c r="A74" s="355">
        <v>54399</v>
      </c>
      <c r="B74" s="451" t="s">
        <v>219</v>
      </c>
      <c r="C74" s="353">
        <v>0</v>
      </c>
      <c r="D74" s="353">
        <v>0</v>
      </c>
      <c r="E74" s="353"/>
      <c r="F74" s="353">
        <v>0</v>
      </c>
      <c r="G74" s="352">
        <f t="shared" si="9"/>
        <v>0</v>
      </c>
      <c r="H74" s="353"/>
      <c r="I74" s="353"/>
      <c r="J74" s="353"/>
      <c r="K74" s="352">
        <f t="shared" si="11"/>
        <v>0</v>
      </c>
      <c r="L74" s="352"/>
      <c r="M74" s="352"/>
      <c r="N74" s="353">
        <v>2000</v>
      </c>
      <c r="O74" s="353">
        <v>2000</v>
      </c>
      <c r="P74" s="353"/>
      <c r="Q74" s="353"/>
      <c r="R74" s="352">
        <f t="shared" si="12"/>
        <v>4000</v>
      </c>
      <c r="S74" s="353"/>
      <c r="T74" s="353"/>
      <c r="U74" s="353"/>
      <c r="V74" s="353"/>
      <c r="W74" s="353"/>
      <c r="X74" s="353"/>
      <c r="Y74" s="353"/>
      <c r="Z74" s="353"/>
      <c r="AA74" s="353"/>
      <c r="AB74" s="349">
        <f t="shared" si="10"/>
        <v>4000</v>
      </c>
      <c r="AC74" s="1"/>
    </row>
    <row r="75" spans="1:29" ht="17.25" thickBot="1" x14ac:dyDescent="0.35">
      <c r="A75" s="350">
        <v>544</v>
      </c>
      <c r="B75" s="452" t="s">
        <v>124</v>
      </c>
      <c r="C75" s="352">
        <f>SUM(C76:C79)</f>
        <v>0</v>
      </c>
      <c r="D75" s="352">
        <f>SUM(D76:D79)</f>
        <v>0</v>
      </c>
      <c r="E75" s="352">
        <f>SUM(E76:E79)</f>
        <v>0</v>
      </c>
      <c r="F75" s="352">
        <f>SUM(F76:F79)</f>
        <v>0</v>
      </c>
      <c r="G75" s="352">
        <f t="shared" si="9"/>
        <v>0</v>
      </c>
      <c r="H75" s="353"/>
      <c r="I75" s="353"/>
      <c r="J75" s="353"/>
      <c r="K75" s="352">
        <f t="shared" si="11"/>
        <v>0</v>
      </c>
      <c r="L75" s="352"/>
      <c r="M75" s="352"/>
      <c r="N75" s="352">
        <f>SUM(N76:N79)</f>
        <v>0</v>
      </c>
      <c r="O75" s="352">
        <f>SUM(O76:O79)</f>
        <v>0</v>
      </c>
      <c r="P75" s="352">
        <f>SUM(P76:P79)</f>
        <v>0</v>
      </c>
      <c r="Q75" s="352">
        <f>SUM(Q76:Q79)</f>
        <v>500</v>
      </c>
      <c r="R75" s="352">
        <f t="shared" si="12"/>
        <v>500</v>
      </c>
      <c r="S75" s="353"/>
      <c r="T75" s="353"/>
      <c r="U75" s="353"/>
      <c r="V75" s="353"/>
      <c r="W75" s="353"/>
      <c r="X75" s="353"/>
      <c r="Y75" s="353"/>
      <c r="Z75" s="353"/>
      <c r="AA75" s="353"/>
      <c r="AB75" s="349">
        <f t="shared" si="10"/>
        <v>500</v>
      </c>
      <c r="AC75" s="1"/>
    </row>
    <row r="76" spans="1:29" ht="17.25" thickBot="1" x14ac:dyDescent="0.35">
      <c r="A76" s="355">
        <v>54401</v>
      </c>
      <c r="B76" s="451" t="s">
        <v>220</v>
      </c>
      <c r="C76" s="353">
        <v>0</v>
      </c>
      <c r="D76" s="353">
        <v>0</v>
      </c>
      <c r="E76" s="353">
        <v>0</v>
      </c>
      <c r="F76" s="353">
        <v>0</v>
      </c>
      <c r="G76" s="352">
        <f t="shared" si="9"/>
        <v>0</v>
      </c>
      <c r="H76" s="353"/>
      <c r="I76" s="353"/>
      <c r="J76" s="353"/>
      <c r="K76" s="352">
        <f t="shared" si="11"/>
        <v>0</v>
      </c>
      <c r="L76" s="352"/>
      <c r="M76" s="352"/>
      <c r="N76" s="353"/>
      <c r="O76" s="353"/>
      <c r="P76" s="353"/>
      <c r="Q76" s="353"/>
      <c r="R76" s="352">
        <f t="shared" si="12"/>
        <v>0</v>
      </c>
      <c r="S76" s="353"/>
      <c r="T76" s="353"/>
      <c r="U76" s="353"/>
      <c r="V76" s="353"/>
      <c r="W76" s="353"/>
      <c r="X76" s="353"/>
      <c r="Y76" s="353"/>
      <c r="Z76" s="353"/>
      <c r="AA76" s="353"/>
      <c r="AB76" s="349">
        <f t="shared" si="10"/>
        <v>0</v>
      </c>
      <c r="AC76" s="1"/>
    </row>
    <row r="77" spans="1:29" ht="17.25" thickBot="1" x14ac:dyDescent="0.35">
      <c r="A77" s="355">
        <v>54402</v>
      </c>
      <c r="B77" s="451" t="s">
        <v>221</v>
      </c>
      <c r="C77" s="353">
        <v>0</v>
      </c>
      <c r="D77" s="353">
        <v>0</v>
      </c>
      <c r="E77" s="353">
        <v>0</v>
      </c>
      <c r="F77" s="353">
        <v>0</v>
      </c>
      <c r="G77" s="352">
        <f t="shared" si="9"/>
        <v>0</v>
      </c>
      <c r="H77" s="353"/>
      <c r="I77" s="353"/>
      <c r="J77" s="353"/>
      <c r="K77" s="352">
        <f t="shared" si="11"/>
        <v>0</v>
      </c>
      <c r="L77" s="352"/>
      <c r="M77" s="352"/>
      <c r="N77" s="353"/>
      <c r="O77" s="353"/>
      <c r="P77" s="353"/>
      <c r="Q77" s="353"/>
      <c r="R77" s="352">
        <f t="shared" si="12"/>
        <v>0</v>
      </c>
      <c r="S77" s="353"/>
      <c r="T77" s="353"/>
      <c r="U77" s="353"/>
      <c r="V77" s="353"/>
      <c r="W77" s="353"/>
      <c r="X77" s="353"/>
      <c r="Y77" s="353"/>
      <c r="Z77" s="353"/>
      <c r="AA77" s="353"/>
      <c r="AB77" s="349">
        <f t="shared" si="10"/>
        <v>0</v>
      </c>
      <c r="AC77" s="1"/>
    </row>
    <row r="78" spans="1:29" ht="17.25" thickBot="1" x14ac:dyDescent="0.35">
      <c r="A78" s="355">
        <v>54403</v>
      </c>
      <c r="B78" s="451" t="s">
        <v>125</v>
      </c>
      <c r="C78" s="353">
        <v>0</v>
      </c>
      <c r="D78" s="353">
        <v>0</v>
      </c>
      <c r="E78" s="353">
        <v>0</v>
      </c>
      <c r="F78" s="353">
        <v>0</v>
      </c>
      <c r="G78" s="352">
        <f t="shared" si="9"/>
        <v>0</v>
      </c>
      <c r="H78" s="353"/>
      <c r="I78" s="353"/>
      <c r="J78" s="353"/>
      <c r="K78" s="352">
        <f t="shared" si="11"/>
        <v>0</v>
      </c>
      <c r="L78" s="352"/>
      <c r="M78" s="352"/>
      <c r="N78" s="353"/>
      <c r="O78" s="353">
        <v>0</v>
      </c>
      <c r="P78" s="353"/>
      <c r="Q78" s="353">
        <v>500</v>
      </c>
      <c r="R78" s="352">
        <f t="shared" si="12"/>
        <v>500</v>
      </c>
      <c r="S78" s="353"/>
      <c r="T78" s="353"/>
      <c r="U78" s="353"/>
      <c r="V78" s="353"/>
      <c r="W78" s="353"/>
      <c r="X78" s="353"/>
      <c r="Y78" s="353"/>
      <c r="Z78" s="353"/>
      <c r="AA78" s="353"/>
      <c r="AB78" s="349">
        <f t="shared" si="10"/>
        <v>500</v>
      </c>
      <c r="AC78" s="1"/>
    </row>
    <row r="79" spans="1:29" ht="17.25" thickBot="1" x14ac:dyDescent="0.35">
      <c r="A79" s="355">
        <v>54404</v>
      </c>
      <c r="B79" s="451" t="s">
        <v>222</v>
      </c>
      <c r="C79" s="353">
        <v>0</v>
      </c>
      <c r="D79" s="353">
        <v>0</v>
      </c>
      <c r="E79" s="353">
        <v>0</v>
      </c>
      <c r="F79" s="353">
        <v>0</v>
      </c>
      <c r="G79" s="352">
        <f t="shared" si="9"/>
        <v>0</v>
      </c>
      <c r="H79" s="353"/>
      <c r="I79" s="353"/>
      <c r="J79" s="353"/>
      <c r="K79" s="352">
        <f t="shared" si="11"/>
        <v>0</v>
      </c>
      <c r="L79" s="352"/>
      <c r="M79" s="352"/>
      <c r="N79" s="353"/>
      <c r="O79" s="353"/>
      <c r="P79" s="353"/>
      <c r="Q79" s="353"/>
      <c r="R79" s="352">
        <f t="shared" si="12"/>
        <v>0</v>
      </c>
      <c r="S79" s="353"/>
      <c r="T79" s="353"/>
      <c r="U79" s="353"/>
      <c r="V79" s="353"/>
      <c r="W79" s="353"/>
      <c r="X79" s="353"/>
      <c r="Y79" s="353"/>
      <c r="Z79" s="353"/>
      <c r="AA79" s="353"/>
      <c r="AB79" s="349">
        <f t="shared" si="10"/>
        <v>0</v>
      </c>
      <c r="AC79" s="1"/>
    </row>
    <row r="80" spans="1:29" ht="27" thickBot="1" x14ac:dyDescent="0.35">
      <c r="A80" s="350">
        <v>545</v>
      </c>
      <c r="B80" s="452" t="s">
        <v>223</v>
      </c>
      <c r="C80" s="352">
        <f>SUM(C81:C87)</f>
        <v>0</v>
      </c>
      <c r="D80" s="352">
        <f>SUM(D81:D87)</f>
        <v>0</v>
      </c>
      <c r="E80" s="352">
        <f>SUM(E81:E87)</f>
        <v>0</v>
      </c>
      <c r="F80" s="352">
        <f>SUM(F81:F87)</f>
        <v>0</v>
      </c>
      <c r="G80" s="352">
        <f t="shared" si="9"/>
        <v>0</v>
      </c>
      <c r="H80" s="352">
        <f>SUM(H81:H87)</f>
        <v>0</v>
      </c>
      <c r="I80" s="352">
        <f>SUM(I81:I87)</f>
        <v>0</v>
      </c>
      <c r="J80" s="352">
        <f>SUM(J81:J87)</f>
        <v>0</v>
      </c>
      <c r="K80" s="352">
        <f t="shared" si="11"/>
        <v>0</v>
      </c>
      <c r="L80" s="352"/>
      <c r="M80" s="352"/>
      <c r="N80" s="352">
        <f>SUM(N81:N87)</f>
        <v>8400</v>
      </c>
      <c r="O80" s="352">
        <f>SUM(O81:O87)</f>
        <v>8400</v>
      </c>
      <c r="P80" s="352">
        <f>SUM(P81:P87)</f>
        <v>0</v>
      </c>
      <c r="Q80" s="352"/>
      <c r="R80" s="352">
        <f t="shared" si="12"/>
        <v>16800</v>
      </c>
      <c r="S80" s="352">
        <f t="shared" ref="S80:AA80" si="13">SUM(S81:S87)</f>
        <v>0</v>
      </c>
      <c r="T80" s="352">
        <f t="shared" si="13"/>
        <v>0</v>
      </c>
      <c r="U80" s="352">
        <f t="shared" si="13"/>
        <v>0</v>
      </c>
      <c r="V80" s="352">
        <f t="shared" si="13"/>
        <v>0</v>
      </c>
      <c r="W80" s="352">
        <f t="shared" si="13"/>
        <v>0</v>
      </c>
      <c r="X80" s="352">
        <f t="shared" si="13"/>
        <v>0</v>
      </c>
      <c r="Y80" s="352">
        <f t="shared" si="13"/>
        <v>0</v>
      </c>
      <c r="Z80" s="352">
        <f t="shared" si="13"/>
        <v>0</v>
      </c>
      <c r="AA80" s="352">
        <f t="shared" si="13"/>
        <v>0</v>
      </c>
      <c r="AB80" s="349">
        <f t="shared" si="10"/>
        <v>16800</v>
      </c>
      <c r="AC80" s="1"/>
    </row>
    <row r="81" spans="1:29" ht="17.25" thickBot="1" x14ac:dyDescent="0.35">
      <c r="A81" s="355">
        <v>54501</v>
      </c>
      <c r="B81" s="451" t="s">
        <v>224</v>
      </c>
      <c r="C81" s="353"/>
      <c r="D81" s="353"/>
      <c r="E81" s="353"/>
      <c r="F81" s="353"/>
      <c r="G81" s="352">
        <f t="shared" si="9"/>
        <v>0</v>
      </c>
      <c r="H81" s="353"/>
      <c r="I81" s="353"/>
      <c r="J81" s="353"/>
      <c r="K81" s="352">
        <f t="shared" si="11"/>
        <v>0</v>
      </c>
      <c r="L81" s="352"/>
      <c r="M81" s="352"/>
      <c r="N81" s="353"/>
      <c r="O81" s="353"/>
      <c r="P81" s="353"/>
      <c r="Q81" s="353"/>
      <c r="R81" s="352">
        <f t="shared" si="12"/>
        <v>0</v>
      </c>
      <c r="S81" s="353"/>
      <c r="T81" s="353"/>
      <c r="U81" s="353"/>
      <c r="V81" s="353"/>
      <c r="W81" s="353"/>
      <c r="X81" s="353"/>
      <c r="Y81" s="353"/>
      <c r="Z81" s="353"/>
      <c r="AA81" s="353"/>
      <c r="AB81" s="349">
        <f t="shared" si="10"/>
        <v>0</v>
      </c>
      <c r="AC81" s="1"/>
    </row>
    <row r="82" spans="1:29" ht="17.25" thickBot="1" x14ac:dyDescent="0.35">
      <c r="A82" s="355">
        <v>54503</v>
      </c>
      <c r="B82" s="451" t="s">
        <v>127</v>
      </c>
      <c r="C82" s="353">
        <v>0</v>
      </c>
      <c r="D82" s="353"/>
      <c r="E82" s="353"/>
      <c r="F82" s="353"/>
      <c r="G82" s="352">
        <f t="shared" si="9"/>
        <v>0</v>
      </c>
      <c r="H82" s="353"/>
      <c r="I82" s="353"/>
      <c r="J82" s="353"/>
      <c r="K82" s="352">
        <f t="shared" si="11"/>
        <v>0</v>
      </c>
      <c r="L82" s="352"/>
      <c r="M82" s="352"/>
      <c r="N82" s="353">
        <v>8400</v>
      </c>
      <c r="O82" s="353"/>
      <c r="P82" s="353"/>
      <c r="Q82" s="353"/>
      <c r="R82" s="352">
        <f t="shared" si="12"/>
        <v>8400</v>
      </c>
      <c r="S82" s="353"/>
      <c r="T82" s="353"/>
      <c r="U82" s="353"/>
      <c r="V82" s="353"/>
      <c r="W82" s="353"/>
      <c r="X82" s="353"/>
      <c r="Y82" s="353"/>
      <c r="Z82" s="353"/>
      <c r="AA82" s="353"/>
      <c r="AB82" s="349">
        <f t="shared" si="10"/>
        <v>8400</v>
      </c>
      <c r="AC82" s="1"/>
    </row>
    <row r="83" spans="1:29" ht="17.25" thickBot="1" x14ac:dyDescent="0.35">
      <c r="A83" s="355">
        <v>54504</v>
      </c>
      <c r="B83" s="451" t="s">
        <v>128</v>
      </c>
      <c r="C83" s="353">
        <v>0</v>
      </c>
      <c r="D83" s="353"/>
      <c r="E83" s="353"/>
      <c r="F83" s="353"/>
      <c r="G83" s="352">
        <f t="shared" si="9"/>
        <v>0</v>
      </c>
      <c r="H83" s="353"/>
      <c r="I83" s="353"/>
      <c r="J83" s="353"/>
      <c r="K83" s="352">
        <f t="shared" si="11"/>
        <v>0</v>
      </c>
      <c r="L83" s="352"/>
      <c r="M83" s="352"/>
      <c r="N83" s="353"/>
      <c r="O83" s="353">
        <v>8400</v>
      </c>
      <c r="P83" s="353"/>
      <c r="Q83" s="353"/>
      <c r="R83" s="352">
        <f t="shared" si="12"/>
        <v>8400</v>
      </c>
      <c r="S83" s="353"/>
      <c r="T83" s="353"/>
      <c r="U83" s="353"/>
      <c r="V83" s="353"/>
      <c r="W83" s="353"/>
      <c r="X83" s="353"/>
      <c r="Y83" s="353"/>
      <c r="Z83" s="353"/>
      <c r="AA83" s="353"/>
      <c r="AB83" s="349">
        <f t="shared" si="10"/>
        <v>8400</v>
      </c>
      <c r="AC83" s="1"/>
    </row>
    <row r="84" spans="1:29" ht="17.25" thickBot="1" x14ac:dyDescent="0.35">
      <c r="A84" s="355">
        <v>54505</v>
      </c>
      <c r="B84" s="451" t="s">
        <v>225</v>
      </c>
      <c r="C84" s="353"/>
      <c r="D84" s="353"/>
      <c r="E84" s="353"/>
      <c r="F84" s="353"/>
      <c r="G84" s="352">
        <f t="shared" si="9"/>
        <v>0</v>
      </c>
      <c r="H84" s="353"/>
      <c r="I84" s="353"/>
      <c r="J84" s="353"/>
      <c r="K84" s="352"/>
      <c r="L84" s="352"/>
      <c r="M84" s="352"/>
      <c r="N84" s="353">
        <v>0</v>
      </c>
      <c r="O84" s="353"/>
      <c r="P84" s="353"/>
      <c r="Q84" s="353"/>
      <c r="R84" s="352">
        <f t="shared" si="12"/>
        <v>0</v>
      </c>
      <c r="S84" s="353"/>
      <c r="T84" s="353"/>
      <c r="U84" s="353"/>
      <c r="V84" s="353"/>
      <c r="W84" s="353"/>
      <c r="X84" s="353"/>
      <c r="Y84" s="353"/>
      <c r="Z84" s="353"/>
      <c r="AA84" s="353"/>
      <c r="AB84" s="349">
        <f t="shared" si="10"/>
        <v>0</v>
      </c>
      <c r="AC84" s="1"/>
    </row>
    <row r="85" spans="1:29" ht="17.25" thickBot="1" x14ac:dyDescent="0.35">
      <c r="A85" s="355">
        <v>54507</v>
      </c>
      <c r="B85" s="451" t="s">
        <v>226</v>
      </c>
      <c r="C85" s="353"/>
      <c r="D85" s="353"/>
      <c r="E85" s="353"/>
      <c r="F85" s="353"/>
      <c r="G85" s="352">
        <f t="shared" si="9"/>
        <v>0</v>
      </c>
      <c r="H85" s="353"/>
      <c r="I85" s="353"/>
      <c r="J85" s="353"/>
      <c r="K85" s="352"/>
      <c r="L85" s="352"/>
      <c r="M85" s="352"/>
      <c r="N85" s="353"/>
      <c r="O85" s="353"/>
      <c r="P85" s="353"/>
      <c r="Q85" s="353"/>
      <c r="R85" s="352">
        <f t="shared" si="12"/>
        <v>0</v>
      </c>
      <c r="S85" s="353"/>
      <c r="T85" s="353"/>
      <c r="U85" s="353"/>
      <c r="V85" s="353"/>
      <c r="W85" s="353"/>
      <c r="X85" s="353"/>
      <c r="Y85" s="353"/>
      <c r="Z85" s="353"/>
      <c r="AA85" s="353"/>
      <c r="AB85" s="349">
        <f t="shared" si="10"/>
        <v>0</v>
      </c>
      <c r="AC85" s="1"/>
    </row>
    <row r="86" spans="1:29" ht="17.25" thickBot="1" x14ac:dyDescent="0.35">
      <c r="A86" s="355">
        <v>54508</v>
      </c>
      <c r="B86" s="451" t="s">
        <v>227</v>
      </c>
      <c r="C86" s="353"/>
      <c r="D86" s="353"/>
      <c r="E86" s="353"/>
      <c r="F86" s="353"/>
      <c r="G86" s="352">
        <f t="shared" si="9"/>
        <v>0</v>
      </c>
      <c r="H86" s="353"/>
      <c r="I86" s="353"/>
      <c r="J86" s="353"/>
      <c r="K86" s="352"/>
      <c r="L86" s="352"/>
      <c r="M86" s="352"/>
      <c r="N86" s="353"/>
      <c r="O86" s="353"/>
      <c r="P86" s="353"/>
      <c r="Q86" s="353"/>
      <c r="R86" s="352">
        <f t="shared" si="12"/>
        <v>0</v>
      </c>
      <c r="S86" s="353"/>
      <c r="T86" s="353"/>
      <c r="U86" s="353"/>
      <c r="V86" s="353"/>
      <c r="W86" s="353"/>
      <c r="X86" s="353"/>
      <c r="Y86" s="353"/>
      <c r="Z86" s="353"/>
      <c r="AA86" s="353"/>
      <c r="AB86" s="349">
        <f t="shared" si="10"/>
        <v>0</v>
      </c>
      <c r="AC86" s="1"/>
    </row>
    <row r="87" spans="1:29" ht="27" thickBot="1" x14ac:dyDescent="0.35">
      <c r="A87" s="355">
        <v>54599</v>
      </c>
      <c r="B87" s="451" t="s">
        <v>228</v>
      </c>
      <c r="C87" s="353">
        <v>0</v>
      </c>
      <c r="D87" s="353"/>
      <c r="E87" s="353"/>
      <c r="F87" s="353"/>
      <c r="G87" s="352">
        <f t="shared" si="9"/>
        <v>0</v>
      </c>
      <c r="H87" s="353"/>
      <c r="I87" s="353"/>
      <c r="J87" s="353"/>
      <c r="K87" s="352">
        <f>+H87+I87+J87</f>
        <v>0</v>
      </c>
      <c r="L87" s="352"/>
      <c r="M87" s="352"/>
      <c r="N87" s="353"/>
      <c r="O87" s="353"/>
      <c r="P87" s="353"/>
      <c r="Q87" s="353"/>
      <c r="R87" s="352">
        <f t="shared" si="12"/>
        <v>0</v>
      </c>
      <c r="S87" s="353"/>
      <c r="T87" s="353"/>
      <c r="U87" s="353"/>
      <c r="V87" s="353"/>
      <c r="W87" s="353"/>
      <c r="X87" s="353"/>
      <c r="Y87" s="353"/>
      <c r="Z87" s="353"/>
      <c r="AA87" s="353"/>
      <c r="AB87" s="349">
        <f t="shared" si="10"/>
        <v>0</v>
      </c>
      <c r="AC87" s="1"/>
    </row>
    <row r="88" spans="1:29" ht="17.25" thickBot="1" x14ac:dyDescent="0.35">
      <c r="A88" s="350">
        <v>546</v>
      </c>
      <c r="B88" s="452" t="s">
        <v>229</v>
      </c>
      <c r="C88" s="352">
        <f>SUM(C89)</f>
        <v>0</v>
      </c>
      <c r="D88" s="352">
        <f>SUM(D89)</f>
        <v>0</v>
      </c>
      <c r="E88" s="352">
        <f>SUM(E89)</f>
        <v>0</v>
      </c>
      <c r="F88" s="352">
        <f>SUM(F89)</f>
        <v>0</v>
      </c>
      <c r="G88" s="352">
        <f t="shared" si="9"/>
        <v>0</v>
      </c>
      <c r="H88" s="353">
        <v>96000</v>
      </c>
      <c r="I88" s="353"/>
      <c r="J88" s="353"/>
      <c r="K88" s="352">
        <v>96000</v>
      </c>
      <c r="L88" s="352">
        <f>L89</f>
        <v>161413</v>
      </c>
      <c r="M88" s="352"/>
      <c r="N88" s="353"/>
      <c r="O88" s="353"/>
      <c r="P88" s="353"/>
      <c r="Q88" s="352">
        <f>SUM(Q89+Q90)</f>
        <v>0</v>
      </c>
      <c r="R88" s="352">
        <f t="shared" si="12"/>
        <v>0</v>
      </c>
      <c r="S88" s="353"/>
      <c r="T88" s="353"/>
      <c r="U88" s="353"/>
      <c r="V88" s="353"/>
      <c r="W88" s="353"/>
      <c r="X88" s="353"/>
      <c r="Y88" s="353"/>
      <c r="Z88" s="353"/>
      <c r="AA88" s="353"/>
      <c r="AB88" s="349">
        <f t="shared" si="10"/>
        <v>257413</v>
      </c>
      <c r="AC88" s="1"/>
    </row>
    <row r="89" spans="1:29" ht="17.25" thickBot="1" x14ac:dyDescent="0.35">
      <c r="A89" s="355">
        <v>54602</v>
      </c>
      <c r="B89" s="451" t="s">
        <v>585</v>
      </c>
      <c r="C89" s="353">
        <v>0</v>
      </c>
      <c r="D89" s="353">
        <v>0</v>
      </c>
      <c r="E89" s="353">
        <v>0</v>
      </c>
      <c r="F89" s="353"/>
      <c r="G89" s="352">
        <f t="shared" si="9"/>
        <v>0</v>
      </c>
      <c r="H89" s="353">
        <v>96000</v>
      </c>
      <c r="I89" s="353"/>
      <c r="J89" s="353"/>
      <c r="K89" s="352">
        <v>96000</v>
      </c>
      <c r="L89" s="353">
        <v>161413</v>
      </c>
      <c r="M89" s="352"/>
      <c r="N89" s="353"/>
      <c r="O89" s="353"/>
      <c r="P89" s="353"/>
      <c r="Q89" s="353"/>
      <c r="R89" s="352">
        <f t="shared" si="12"/>
        <v>0</v>
      </c>
      <c r="S89" s="353"/>
      <c r="T89" s="353"/>
      <c r="U89" s="353"/>
      <c r="V89" s="353"/>
      <c r="W89" s="353"/>
      <c r="X89" s="353"/>
      <c r="Y89" s="353"/>
      <c r="Z89" s="353"/>
      <c r="AA89" s="353"/>
      <c r="AB89" s="349">
        <f t="shared" si="10"/>
        <v>257413</v>
      </c>
      <c r="AC89" s="1"/>
    </row>
    <row r="90" spans="1:29" ht="17.25" thickBot="1" x14ac:dyDescent="0.35">
      <c r="A90" s="355">
        <v>54603</v>
      </c>
      <c r="B90" s="451" t="s">
        <v>230</v>
      </c>
      <c r="C90" s="353"/>
      <c r="D90" s="353"/>
      <c r="E90" s="353"/>
      <c r="F90" s="353"/>
      <c r="G90" s="352"/>
      <c r="H90" s="353"/>
      <c r="I90" s="353"/>
      <c r="J90" s="353"/>
      <c r="K90" s="352"/>
      <c r="L90" s="352"/>
      <c r="M90" s="352"/>
      <c r="N90" s="353"/>
      <c r="O90" s="353"/>
      <c r="P90" s="353"/>
      <c r="Q90" s="353"/>
      <c r="R90" s="352">
        <f t="shared" si="12"/>
        <v>0</v>
      </c>
      <c r="S90" s="353"/>
      <c r="T90" s="353"/>
      <c r="U90" s="353"/>
      <c r="V90" s="353"/>
      <c r="W90" s="353"/>
      <c r="X90" s="353"/>
      <c r="Y90" s="353"/>
      <c r="Z90" s="353"/>
      <c r="AA90" s="353"/>
      <c r="AB90" s="349">
        <f t="shared" si="10"/>
        <v>0</v>
      </c>
      <c r="AC90" s="1"/>
    </row>
    <row r="91" spans="1:29" ht="17.25" thickBot="1" x14ac:dyDescent="0.35">
      <c r="A91" s="350">
        <v>55</v>
      </c>
      <c r="B91" s="452" t="s">
        <v>129</v>
      </c>
      <c r="C91" s="352">
        <f t="shared" ref="C91:I91" si="14">C92+C97+C101</f>
        <v>0</v>
      </c>
      <c r="D91" s="352">
        <f t="shared" si="14"/>
        <v>300</v>
      </c>
      <c r="E91" s="352">
        <f t="shared" si="14"/>
        <v>0</v>
      </c>
      <c r="F91" s="352">
        <f t="shared" si="14"/>
        <v>0</v>
      </c>
      <c r="G91" s="352">
        <f t="shared" si="14"/>
        <v>300</v>
      </c>
      <c r="H91" s="352">
        <f t="shared" si="14"/>
        <v>0</v>
      </c>
      <c r="I91" s="352">
        <f t="shared" si="14"/>
        <v>0</v>
      </c>
      <c r="J91" s="352">
        <f>+J92+J97</f>
        <v>3913.75</v>
      </c>
      <c r="K91" s="352">
        <f t="shared" ref="K91:K104" si="15">+H91+I91+J91</f>
        <v>3913.75</v>
      </c>
      <c r="L91" s="352"/>
      <c r="M91" s="352">
        <f>M92</f>
        <v>0</v>
      </c>
      <c r="N91" s="352">
        <f>+N92+N97+N101</f>
        <v>0</v>
      </c>
      <c r="O91" s="352">
        <f>+O92+O97+O101</f>
        <v>16457.46</v>
      </c>
      <c r="P91" s="352">
        <f>+P92+P97+P101</f>
        <v>0</v>
      </c>
      <c r="Q91" s="352"/>
      <c r="R91" s="352">
        <f t="shared" si="12"/>
        <v>16457.46</v>
      </c>
      <c r="S91" s="353"/>
      <c r="T91" s="353"/>
      <c r="U91" s="353"/>
      <c r="V91" s="353"/>
      <c r="W91" s="353"/>
      <c r="X91" s="353"/>
      <c r="Y91" s="353"/>
      <c r="Z91" s="353"/>
      <c r="AA91" s="353"/>
      <c r="AB91" s="349">
        <f t="shared" si="10"/>
        <v>20671.21</v>
      </c>
      <c r="AC91" s="1"/>
    </row>
    <row r="92" spans="1:29" ht="27" thickBot="1" x14ac:dyDescent="0.35">
      <c r="A92" s="350">
        <v>553</v>
      </c>
      <c r="B92" s="452" t="s">
        <v>231</v>
      </c>
      <c r="C92" s="352">
        <f>SUM(C93:C96)</f>
        <v>0</v>
      </c>
      <c r="D92" s="352">
        <f>SUM(D93:D96)</f>
        <v>0</v>
      </c>
      <c r="E92" s="352">
        <f>SUM(E93:E96)</f>
        <v>0</v>
      </c>
      <c r="F92" s="352">
        <f>SUM(F93:F96)</f>
        <v>0</v>
      </c>
      <c r="G92" s="352">
        <f>SUM(C92:F92)</f>
        <v>0</v>
      </c>
      <c r="H92" s="353">
        <f>SUM(H93:H96)</f>
        <v>0</v>
      </c>
      <c r="I92" s="353">
        <f>SUM(I93:I96)</f>
        <v>0</v>
      </c>
      <c r="J92" s="352">
        <f>SUM(J93:J96)</f>
        <v>3913.75</v>
      </c>
      <c r="K92" s="352">
        <f t="shared" si="15"/>
        <v>3913.75</v>
      </c>
      <c r="L92" s="352">
        <f>L95</f>
        <v>0</v>
      </c>
      <c r="M92" s="352">
        <f>M95</f>
        <v>0</v>
      </c>
      <c r="N92" s="353">
        <f>SUM(N93:N96)</f>
        <v>0</v>
      </c>
      <c r="O92" s="353">
        <f>SUM(O93:O96)</f>
        <v>0</v>
      </c>
      <c r="P92" s="353">
        <f>SUM(P93:P96)</f>
        <v>0</v>
      </c>
      <c r="Q92" s="353"/>
      <c r="R92" s="352">
        <f t="shared" si="12"/>
        <v>0</v>
      </c>
      <c r="S92" s="353">
        <f t="shared" ref="S92:AA92" si="16">SUM(S93:S96)</f>
        <v>0</v>
      </c>
      <c r="T92" s="353">
        <f t="shared" si="16"/>
        <v>0</v>
      </c>
      <c r="U92" s="353">
        <f t="shared" si="16"/>
        <v>0</v>
      </c>
      <c r="V92" s="353">
        <f t="shared" si="16"/>
        <v>0</v>
      </c>
      <c r="W92" s="353">
        <f t="shared" si="16"/>
        <v>0</v>
      </c>
      <c r="X92" s="353">
        <f t="shared" si="16"/>
        <v>0</v>
      </c>
      <c r="Y92" s="353">
        <f t="shared" si="16"/>
        <v>0</v>
      </c>
      <c r="Z92" s="353">
        <f t="shared" si="16"/>
        <v>0</v>
      </c>
      <c r="AA92" s="353">
        <f t="shared" si="16"/>
        <v>0</v>
      </c>
      <c r="AB92" s="349">
        <f t="shared" si="10"/>
        <v>3913.75</v>
      </c>
      <c r="AC92" s="1"/>
    </row>
    <row r="93" spans="1:29" ht="27" thickBot="1" x14ac:dyDescent="0.35">
      <c r="A93" s="355">
        <v>55302</v>
      </c>
      <c r="B93" s="451" t="s">
        <v>245</v>
      </c>
      <c r="C93" s="353"/>
      <c r="D93" s="353">
        <v>0</v>
      </c>
      <c r="E93" s="353"/>
      <c r="F93" s="353"/>
      <c r="G93" s="352">
        <f>SUM(C93:F93)</f>
        <v>0</v>
      </c>
      <c r="H93" s="353"/>
      <c r="I93" s="353"/>
      <c r="J93" s="353"/>
      <c r="K93" s="352">
        <f t="shared" si="15"/>
        <v>0</v>
      </c>
      <c r="L93" s="352"/>
      <c r="M93" s="352"/>
      <c r="N93" s="353"/>
      <c r="O93" s="353">
        <v>0</v>
      </c>
      <c r="P93" s="353"/>
      <c r="Q93" s="353"/>
      <c r="R93" s="352">
        <f t="shared" si="12"/>
        <v>0</v>
      </c>
      <c r="S93" s="353"/>
      <c r="T93" s="353"/>
      <c r="U93" s="353"/>
      <c r="V93" s="353"/>
      <c r="W93" s="353"/>
      <c r="X93" s="353"/>
      <c r="Y93" s="353"/>
      <c r="Z93" s="353"/>
      <c r="AA93" s="353"/>
      <c r="AB93" s="349">
        <f t="shared" si="10"/>
        <v>0</v>
      </c>
      <c r="AC93" s="1"/>
    </row>
    <row r="94" spans="1:29" ht="17.25" thickBot="1" x14ac:dyDescent="0.35">
      <c r="A94" s="355">
        <v>55303</v>
      </c>
      <c r="B94" s="451" t="s">
        <v>233</v>
      </c>
      <c r="C94" s="353"/>
      <c r="D94" s="353"/>
      <c r="E94" s="353"/>
      <c r="F94" s="353"/>
      <c r="G94" s="352">
        <f>SUM(C94:F94)</f>
        <v>0</v>
      </c>
      <c r="H94" s="353"/>
      <c r="I94" s="353"/>
      <c r="J94" s="353"/>
      <c r="K94" s="352">
        <f t="shared" si="15"/>
        <v>0</v>
      </c>
      <c r="L94" s="352"/>
      <c r="M94" s="352"/>
      <c r="N94" s="353"/>
      <c r="O94" s="353"/>
      <c r="P94" s="353"/>
      <c r="Q94" s="353"/>
      <c r="R94" s="352">
        <f t="shared" si="12"/>
        <v>0</v>
      </c>
      <c r="S94" s="353"/>
      <c r="T94" s="353"/>
      <c r="U94" s="353"/>
      <c r="V94" s="353"/>
      <c r="W94" s="353"/>
      <c r="X94" s="353"/>
      <c r="Y94" s="353"/>
      <c r="Z94" s="353"/>
      <c r="AA94" s="353"/>
      <c r="AB94" s="349">
        <f t="shared" si="10"/>
        <v>0</v>
      </c>
      <c r="AC94" s="1"/>
    </row>
    <row r="95" spans="1:29" ht="17.25" thickBot="1" x14ac:dyDescent="0.35">
      <c r="A95" s="355">
        <v>55304</v>
      </c>
      <c r="B95" s="451" t="s">
        <v>63</v>
      </c>
      <c r="C95" s="353"/>
      <c r="D95" s="353">
        <v>0</v>
      </c>
      <c r="E95" s="353"/>
      <c r="F95" s="353"/>
      <c r="G95" s="352">
        <f>SUM(C95:F95)</f>
        <v>0</v>
      </c>
      <c r="H95" s="353"/>
      <c r="I95" s="353"/>
      <c r="J95" s="353">
        <v>3913.75</v>
      </c>
      <c r="K95" s="352">
        <f t="shared" si="15"/>
        <v>3913.75</v>
      </c>
      <c r="L95" s="353"/>
      <c r="M95" s="353"/>
      <c r="N95" s="353"/>
      <c r="O95" s="353">
        <v>0</v>
      </c>
      <c r="P95" s="353"/>
      <c r="Q95" s="353"/>
      <c r="R95" s="352">
        <f t="shared" si="12"/>
        <v>0</v>
      </c>
      <c r="S95" s="353"/>
      <c r="T95" s="353"/>
      <c r="U95" s="353"/>
      <c r="V95" s="353"/>
      <c r="W95" s="353"/>
      <c r="X95" s="353"/>
      <c r="Y95" s="353"/>
      <c r="Z95" s="353"/>
      <c r="AA95" s="353"/>
      <c r="AB95" s="349">
        <f t="shared" si="10"/>
        <v>3913.75</v>
      </c>
      <c r="AC95" s="1"/>
    </row>
    <row r="96" spans="1:29" ht="17.25" thickBot="1" x14ac:dyDescent="0.35">
      <c r="A96" s="355">
        <v>55308</v>
      </c>
      <c r="B96" s="451" t="s">
        <v>463</v>
      </c>
      <c r="C96" s="353"/>
      <c r="D96" s="353"/>
      <c r="E96" s="353"/>
      <c r="F96" s="353"/>
      <c r="G96" s="352">
        <f>SUM(C96:F96)</f>
        <v>0</v>
      </c>
      <c r="H96" s="353"/>
      <c r="I96" s="353"/>
      <c r="J96" s="353"/>
      <c r="K96" s="352">
        <f t="shared" si="15"/>
        <v>0</v>
      </c>
      <c r="L96" s="352"/>
      <c r="M96" s="352"/>
      <c r="N96" s="353"/>
      <c r="O96" s="353"/>
      <c r="P96" s="353"/>
      <c r="Q96" s="353"/>
      <c r="R96" s="352">
        <f t="shared" si="12"/>
        <v>0</v>
      </c>
      <c r="S96" s="353"/>
      <c r="T96" s="353"/>
      <c r="U96" s="353"/>
      <c r="V96" s="353"/>
      <c r="W96" s="353"/>
      <c r="X96" s="353"/>
      <c r="Y96" s="353"/>
      <c r="Z96" s="353"/>
      <c r="AA96" s="353"/>
      <c r="AB96" s="349">
        <f t="shared" ref="AB96:AB127" si="17">+G96+K96+L96+M96+R96+U96+X96+AA96</f>
        <v>0</v>
      </c>
      <c r="AC96" s="1"/>
    </row>
    <row r="97" spans="1:29" ht="27" thickBot="1" x14ac:dyDescent="0.35">
      <c r="A97" s="350">
        <v>556</v>
      </c>
      <c r="B97" s="452" t="s">
        <v>235</v>
      </c>
      <c r="C97" s="352">
        <f t="shared" ref="C97:J97" si="18">SUM(C98:C100)</f>
        <v>0</v>
      </c>
      <c r="D97" s="352">
        <f t="shared" si="18"/>
        <v>300</v>
      </c>
      <c r="E97" s="352">
        <f t="shared" si="18"/>
        <v>0</v>
      </c>
      <c r="F97" s="352">
        <f t="shared" si="18"/>
        <v>0</v>
      </c>
      <c r="G97" s="352">
        <f t="shared" si="18"/>
        <v>300</v>
      </c>
      <c r="H97" s="352">
        <f t="shared" si="18"/>
        <v>0</v>
      </c>
      <c r="I97" s="352">
        <f t="shared" si="18"/>
        <v>0</v>
      </c>
      <c r="J97" s="352">
        <f t="shared" si="18"/>
        <v>0</v>
      </c>
      <c r="K97" s="352">
        <f t="shared" si="15"/>
        <v>0</v>
      </c>
      <c r="L97" s="352"/>
      <c r="M97" s="352"/>
      <c r="N97" s="352">
        <f>SUM(N98:N100)</f>
        <v>0</v>
      </c>
      <c r="O97" s="352">
        <f>SUM(O98:O100)</f>
        <v>16457.46</v>
      </c>
      <c r="P97" s="352">
        <f>SUM(P98:P100)</f>
        <v>0</v>
      </c>
      <c r="Q97" s="352"/>
      <c r="R97" s="352">
        <f t="shared" si="12"/>
        <v>16457.46</v>
      </c>
      <c r="S97" s="352">
        <f t="shared" ref="S97:AA97" si="19">SUM(S98:S100)</f>
        <v>0</v>
      </c>
      <c r="T97" s="352">
        <f t="shared" si="19"/>
        <v>0</v>
      </c>
      <c r="U97" s="352">
        <f t="shared" si="19"/>
        <v>0</v>
      </c>
      <c r="V97" s="352">
        <f t="shared" si="19"/>
        <v>0</v>
      </c>
      <c r="W97" s="352">
        <f t="shared" si="19"/>
        <v>0</v>
      </c>
      <c r="X97" s="352">
        <f t="shared" si="19"/>
        <v>0</v>
      </c>
      <c r="Y97" s="352">
        <f t="shared" si="19"/>
        <v>0</v>
      </c>
      <c r="Z97" s="352">
        <f t="shared" si="19"/>
        <v>0</v>
      </c>
      <c r="AA97" s="352">
        <f t="shared" si="19"/>
        <v>0</v>
      </c>
      <c r="AB97" s="349">
        <f t="shared" si="17"/>
        <v>16757.46</v>
      </c>
      <c r="AC97" s="1"/>
    </row>
    <row r="98" spans="1:29" ht="17.25" thickBot="1" x14ac:dyDescent="0.35">
      <c r="A98" s="355">
        <v>55601</v>
      </c>
      <c r="B98" s="451" t="s">
        <v>236</v>
      </c>
      <c r="C98" s="353">
        <v>0</v>
      </c>
      <c r="D98" s="353"/>
      <c r="E98" s="353"/>
      <c r="F98" s="353"/>
      <c r="G98" s="352">
        <f>SUM(C98:F98)</f>
        <v>0</v>
      </c>
      <c r="H98" s="353"/>
      <c r="I98" s="353"/>
      <c r="J98" s="353"/>
      <c r="K98" s="352">
        <f t="shared" si="15"/>
        <v>0</v>
      </c>
      <c r="L98" s="352"/>
      <c r="M98" s="352"/>
      <c r="N98" s="353"/>
      <c r="O98" s="353">
        <v>12000</v>
      </c>
      <c r="P98" s="353"/>
      <c r="Q98" s="353"/>
      <c r="R98" s="352">
        <f t="shared" si="12"/>
        <v>12000</v>
      </c>
      <c r="S98" s="353"/>
      <c r="T98" s="353"/>
      <c r="U98" s="353"/>
      <c r="V98" s="353"/>
      <c r="W98" s="353"/>
      <c r="X98" s="353"/>
      <c r="Y98" s="353"/>
      <c r="Z98" s="353"/>
      <c r="AA98" s="353"/>
      <c r="AB98" s="349">
        <f t="shared" si="17"/>
        <v>12000</v>
      </c>
      <c r="AC98" s="1"/>
    </row>
    <row r="99" spans="1:29" ht="27" thickBot="1" x14ac:dyDescent="0.35">
      <c r="A99" s="355">
        <v>55602</v>
      </c>
      <c r="B99" s="451" t="s">
        <v>134</v>
      </c>
      <c r="C99" s="353">
        <v>0</v>
      </c>
      <c r="D99" s="353"/>
      <c r="E99" s="353"/>
      <c r="F99" s="353"/>
      <c r="G99" s="352">
        <f>SUM(C99:F99)</f>
        <v>0</v>
      </c>
      <c r="H99" s="353"/>
      <c r="I99" s="353"/>
      <c r="J99" s="353"/>
      <c r="K99" s="352">
        <f t="shared" si="15"/>
        <v>0</v>
      </c>
      <c r="L99" s="352"/>
      <c r="M99" s="352"/>
      <c r="N99" s="353"/>
      <c r="O99" s="353">
        <v>4000</v>
      </c>
      <c r="P99" s="353"/>
      <c r="Q99" s="353"/>
      <c r="R99" s="352">
        <f t="shared" si="12"/>
        <v>4000</v>
      </c>
      <c r="S99" s="353"/>
      <c r="T99" s="353"/>
      <c r="U99" s="353"/>
      <c r="V99" s="353"/>
      <c r="W99" s="353"/>
      <c r="X99" s="353"/>
      <c r="Y99" s="353"/>
      <c r="Z99" s="353"/>
      <c r="AA99" s="353"/>
      <c r="AB99" s="349">
        <f t="shared" si="17"/>
        <v>4000</v>
      </c>
      <c r="AC99" s="1"/>
    </row>
    <row r="100" spans="1:29" ht="17.25" thickBot="1" x14ac:dyDescent="0.35">
      <c r="A100" s="355">
        <v>55603</v>
      </c>
      <c r="B100" s="451" t="s">
        <v>237</v>
      </c>
      <c r="C100" s="353">
        <v>0</v>
      </c>
      <c r="D100" s="353">
        <v>300</v>
      </c>
      <c r="E100" s="353"/>
      <c r="F100" s="353"/>
      <c r="G100" s="352">
        <f>SUM(C100:F100)</f>
        <v>300</v>
      </c>
      <c r="H100" s="353"/>
      <c r="I100" s="353"/>
      <c r="J100" s="353">
        <v>0</v>
      </c>
      <c r="K100" s="352">
        <f t="shared" si="15"/>
        <v>0</v>
      </c>
      <c r="L100" s="352"/>
      <c r="M100" s="352"/>
      <c r="N100" s="353"/>
      <c r="O100" s="353">
        <v>457.46</v>
      </c>
      <c r="P100" s="353"/>
      <c r="Q100" s="353"/>
      <c r="R100" s="352">
        <f t="shared" si="12"/>
        <v>457.46</v>
      </c>
      <c r="S100" s="353"/>
      <c r="T100" s="353"/>
      <c r="U100" s="353"/>
      <c r="V100" s="353"/>
      <c r="W100" s="353"/>
      <c r="X100" s="353"/>
      <c r="Y100" s="353"/>
      <c r="Z100" s="353"/>
      <c r="AA100" s="353"/>
      <c r="AB100" s="349">
        <f t="shared" si="17"/>
        <v>757.46</v>
      </c>
      <c r="AC100" s="1"/>
    </row>
    <row r="101" spans="1:29" ht="17.25" thickBot="1" x14ac:dyDescent="0.35">
      <c r="A101" s="350">
        <v>557</v>
      </c>
      <c r="B101" s="452" t="s">
        <v>136</v>
      </c>
      <c r="C101" s="352">
        <f t="shared" ref="C101:J101" si="20">SUM(C102:C104)</f>
        <v>0</v>
      </c>
      <c r="D101" s="352">
        <f t="shared" si="20"/>
        <v>0</v>
      </c>
      <c r="E101" s="352">
        <f t="shared" si="20"/>
        <v>0</v>
      </c>
      <c r="F101" s="352">
        <f t="shared" si="20"/>
        <v>0</v>
      </c>
      <c r="G101" s="352">
        <f t="shared" si="20"/>
        <v>0</v>
      </c>
      <c r="H101" s="352">
        <f t="shared" si="20"/>
        <v>0</v>
      </c>
      <c r="I101" s="352">
        <f t="shared" si="20"/>
        <v>0</v>
      </c>
      <c r="J101" s="352">
        <f t="shared" si="20"/>
        <v>0</v>
      </c>
      <c r="K101" s="352">
        <f t="shared" si="15"/>
        <v>0</v>
      </c>
      <c r="L101" s="352"/>
      <c r="M101" s="352"/>
      <c r="N101" s="352">
        <f>SUM(N102:N104)</f>
        <v>0</v>
      </c>
      <c r="O101" s="352">
        <f>SUM(O102:O104)</f>
        <v>0</v>
      </c>
      <c r="P101" s="352">
        <f>SUM(P102:P104)</f>
        <v>0</v>
      </c>
      <c r="Q101" s="352"/>
      <c r="R101" s="352">
        <f t="shared" si="12"/>
        <v>0</v>
      </c>
      <c r="S101" s="352">
        <f t="shared" ref="S101:AA101" si="21">SUM(S102:S104)</f>
        <v>0</v>
      </c>
      <c r="T101" s="352">
        <f t="shared" si="21"/>
        <v>0</v>
      </c>
      <c r="U101" s="352">
        <f t="shared" si="21"/>
        <v>0</v>
      </c>
      <c r="V101" s="352">
        <f t="shared" si="21"/>
        <v>0</v>
      </c>
      <c r="W101" s="352">
        <f t="shared" si="21"/>
        <v>0</v>
      </c>
      <c r="X101" s="352">
        <f t="shared" si="21"/>
        <v>0</v>
      </c>
      <c r="Y101" s="352">
        <f t="shared" si="21"/>
        <v>0</v>
      </c>
      <c r="Z101" s="352">
        <f t="shared" si="21"/>
        <v>0</v>
      </c>
      <c r="AA101" s="352">
        <f t="shared" si="21"/>
        <v>0</v>
      </c>
      <c r="AB101" s="349">
        <f t="shared" si="17"/>
        <v>0</v>
      </c>
      <c r="AC101" s="1"/>
    </row>
    <row r="102" spans="1:29" ht="17.25" thickBot="1" x14ac:dyDescent="0.35">
      <c r="A102" s="355">
        <v>55701</v>
      </c>
      <c r="B102" s="451" t="s">
        <v>238</v>
      </c>
      <c r="C102" s="353"/>
      <c r="D102" s="353"/>
      <c r="E102" s="353"/>
      <c r="F102" s="353"/>
      <c r="G102" s="352">
        <f>SUM(C102:F102)</f>
        <v>0</v>
      </c>
      <c r="H102" s="353"/>
      <c r="I102" s="353"/>
      <c r="J102" s="353"/>
      <c r="K102" s="352">
        <f t="shared" si="15"/>
        <v>0</v>
      </c>
      <c r="L102" s="352"/>
      <c r="M102" s="352"/>
      <c r="N102" s="353"/>
      <c r="O102" s="353"/>
      <c r="P102" s="353"/>
      <c r="Q102" s="353"/>
      <c r="R102" s="352">
        <f t="shared" si="12"/>
        <v>0</v>
      </c>
      <c r="S102" s="353"/>
      <c r="T102" s="353"/>
      <c r="U102" s="353"/>
      <c r="V102" s="353"/>
      <c r="W102" s="353"/>
      <c r="X102" s="353"/>
      <c r="Y102" s="353"/>
      <c r="Z102" s="353"/>
      <c r="AA102" s="353"/>
      <c r="AB102" s="349">
        <f t="shared" si="17"/>
        <v>0</v>
      </c>
      <c r="AC102" s="1"/>
    </row>
    <row r="103" spans="1:29" ht="17.25" thickBot="1" x14ac:dyDescent="0.35">
      <c r="A103" s="355">
        <v>55702</v>
      </c>
      <c r="B103" s="451" t="s">
        <v>239</v>
      </c>
      <c r="C103" s="353"/>
      <c r="D103" s="353"/>
      <c r="E103" s="353"/>
      <c r="F103" s="353"/>
      <c r="G103" s="352">
        <f>SUM(C103:F103)</f>
        <v>0</v>
      </c>
      <c r="H103" s="352"/>
      <c r="I103" s="352"/>
      <c r="J103" s="352"/>
      <c r="K103" s="352">
        <f t="shared" si="15"/>
        <v>0</v>
      </c>
      <c r="L103" s="352"/>
      <c r="M103" s="352"/>
      <c r="N103" s="353"/>
      <c r="O103" s="353"/>
      <c r="P103" s="353"/>
      <c r="Q103" s="353"/>
      <c r="R103" s="352">
        <f t="shared" si="12"/>
        <v>0</v>
      </c>
      <c r="S103" s="352"/>
      <c r="T103" s="352"/>
      <c r="U103" s="352"/>
      <c r="V103" s="352"/>
      <c r="W103" s="352"/>
      <c r="X103" s="352"/>
      <c r="Y103" s="352"/>
      <c r="Z103" s="352"/>
      <c r="AA103" s="352"/>
      <c r="AB103" s="349">
        <f t="shared" si="17"/>
        <v>0</v>
      </c>
      <c r="AC103" s="1"/>
    </row>
    <row r="104" spans="1:29" ht="17.25" thickBot="1" x14ac:dyDescent="0.35">
      <c r="A104" s="355">
        <v>55799</v>
      </c>
      <c r="B104" s="451" t="s">
        <v>137</v>
      </c>
      <c r="C104" s="353"/>
      <c r="D104" s="353">
        <v>0</v>
      </c>
      <c r="E104" s="353"/>
      <c r="F104" s="353"/>
      <c r="G104" s="352">
        <f>SUM(C104:F104)</f>
        <v>0</v>
      </c>
      <c r="H104" s="353"/>
      <c r="I104" s="353"/>
      <c r="J104" s="353"/>
      <c r="K104" s="352">
        <f t="shared" si="15"/>
        <v>0</v>
      </c>
      <c r="L104" s="352"/>
      <c r="M104" s="352"/>
      <c r="N104" s="353"/>
      <c r="O104" s="353"/>
      <c r="P104" s="353"/>
      <c r="Q104" s="353"/>
      <c r="R104" s="352">
        <f t="shared" si="12"/>
        <v>0</v>
      </c>
      <c r="S104" s="353"/>
      <c r="T104" s="353"/>
      <c r="U104" s="353"/>
      <c r="V104" s="353"/>
      <c r="W104" s="353"/>
      <c r="X104" s="353"/>
      <c r="Y104" s="353"/>
      <c r="Z104" s="353"/>
      <c r="AA104" s="353"/>
      <c r="AB104" s="349">
        <f t="shared" si="17"/>
        <v>0</v>
      </c>
      <c r="AC104" s="1"/>
    </row>
    <row r="105" spans="1:29" ht="17.25" thickBot="1" x14ac:dyDescent="0.35">
      <c r="A105" s="355"/>
      <c r="B105" s="451"/>
      <c r="C105" s="353"/>
      <c r="D105" s="353"/>
      <c r="E105" s="353"/>
      <c r="F105" s="353"/>
      <c r="G105" s="352"/>
      <c r="H105" s="353"/>
      <c r="I105" s="353"/>
      <c r="J105" s="353"/>
      <c r="K105" s="352"/>
      <c r="L105" s="352"/>
      <c r="M105" s="352"/>
      <c r="N105" s="353"/>
      <c r="O105" s="353"/>
      <c r="P105" s="353"/>
      <c r="Q105" s="353"/>
      <c r="R105" s="352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49">
        <f t="shared" si="17"/>
        <v>0</v>
      </c>
      <c r="AC105" s="1"/>
    </row>
    <row r="106" spans="1:29" ht="17.25" thickBot="1" x14ac:dyDescent="0.35">
      <c r="A106" s="350">
        <v>56</v>
      </c>
      <c r="B106" s="452" t="s">
        <v>57</v>
      </c>
      <c r="C106" s="352">
        <f>+C107+C109</f>
        <v>0</v>
      </c>
      <c r="D106" s="352">
        <f>+D107+D109</f>
        <v>0</v>
      </c>
      <c r="E106" s="352">
        <f>+E107+E109</f>
        <v>0</v>
      </c>
      <c r="F106" s="352">
        <f>+F107+F109</f>
        <v>0</v>
      </c>
      <c r="G106" s="352">
        <f>+G107+G109</f>
        <v>0</v>
      </c>
      <c r="H106" s="353">
        <v>0</v>
      </c>
      <c r="I106" s="353">
        <v>0</v>
      </c>
      <c r="J106" s="353">
        <v>0</v>
      </c>
      <c r="K106" s="352">
        <f t="shared" ref="K106:K112" si="22">+H106+I106+J106</f>
        <v>0</v>
      </c>
      <c r="L106" s="352"/>
      <c r="M106" s="352"/>
      <c r="N106" s="352">
        <f>+N107+N109</f>
        <v>4000</v>
      </c>
      <c r="O106" s="352">
        <f>+O107+O109</f>
        <v>0</v>
      </c>
      <c r="P106" s="352"/>
      <c r="Q106" s="352"/>
      <c r="R106" s="352">
        <f t="shared" ref="R106:R112" si="23">+N106+O106+P106+Q106</f>
        <v>4000</v>
      </c>
      <c r="S106" s="353"/>
      <c r="T106" s="353"/>
      <c r="U106" s="353"/>
      <c r="V106" s="353"/>
      <c r="W106" s="353"/>
      <c r="X106" s="353"/>
      <c r="Y106" s="353"/>
      <c r="Z106" s="353"/>
      <c r="AA106" s="353"/>
      <c r="AB106" s="349">
        <f t="shared" si="17"/>
        <v>4000</v>
      </c>
      <c r="AC106" s="1"/>
    </row>
    <row r="107" spans="1:29" ht="27" thickBot="1" x14ac:dyDescent="0.35">
      <c r="A107" s="350">
        <v>562</v>
      </c>
      <c r="B107" s="452" t="s">
        <v>138</v>
      </c>
      <c r="C107" s="352">
        <f>+C108</f>
        <v>0</v>
      </c>
      <c r="D107" s="352">
        <f>+D108</f>
        <v>0</v>
      </c>
      <c r="E107" s="352">
        <f>+E108</f>
        <v>0</v>
      </c>
      <c r="F107" s="352">
        <f>+F108</f>
        <v>0</v>
      </c>
      <c r="G107" s="352">
        <f>+G108</f>
        <v>0</v>
      </c>
      <c r="H107" s="353">
        <v>0</v>
      </c>
      <c r="I107" s="353">
        <v>0</v>
      </c>
      <c r="J107" s="353">
        <v>0</v>
      </c>
      <c r="K107" s="352">
        <f t="shared" si="22"/>
        <v>0</v>
      </c>
      <c r="L107" s="352"/>
      <c r="M107" s="352"/>
      <c r="N107" s="352">
        <f>+N108</f>
        <v>0</v>
      </c>
      <c r="O107" s="352">
        <f>+O108</f>
        <v>0</v>
      </c>
      <c r="P107" s="353"/>
      <c r="Q107" s="353"/>
      <c r="R107" s="352">
        <f t="shared" si="23"/>
        <v>0</v>
      </c>
      <c r="S107" s="353"/>
      <c r="T107" s="353"/>
      <c r="U107" s="353"/>
      <c r="V107" s="353"/>
      <c r="W107" s="353"/>
      <c r="X107" s="353"/>
      <c r="Y107" s="353"/>
      <c r="Z107" s="353"/>
      <c r="AA107" s="353"/>
      <c r="AB107" s="349">
        <f t="shared" si="17"/>
        <v>0</v>
      </c>
      <c r="AC107" s="1"/>
    </row>
    <row r="108" spans="1:29" ht="17.25" thickBot="1" x14ac:dyDescent="0.35">
      <c r="A108" s="355">
        <v>56201</v>
      </c>
      <c r="B108" s="451" t="s">
        <v>241</v>
      </c>
      <c r="C108" s="353"/>
      <c r="D108" s="353"/>
      <c r="E108" s="353"/>
      <c r="F108" s="353"/>
      <c r="G108" s="352">
        <f>SUM(C108:F108)</f>
        <v>0</v>
      </c>
      <c r="H108" s="353">
        <v>0</v>
      </c>
      <c r="I108" s="353">
        <v>0</v>
      </c>
      <c r="J108" s="353">
        <v>0</v>
      </c>
      <c r="K108" s="352">
        <f t="shared" si="22"/>
        <v>0</v>
      </c>
      <c r="L108" s="352"/>
      <c r="M108" s="352"/>
      <c r="N108" s="353">
        <v>0</v>
      </c>
      <c r="O108" s="353"/>
      <c r="P108" s="353"/>
      <c r="Q108" s="353"/>
      <c r="R108" s="352">
        <f t="shared" si="23"/>
        <v>0</v>
      </c>
      <c r="S108" s="353"/>
      <c r="T108" s="353"/>
      <c r="U108" s="353"/>
      <c r="V108" s="353"/>
      <c r="W108" s="353"/>
      <c r="X108" s="353"/>
      <c r="Y108" s="353"/>
      <c r="Z108" s="353"/>
      <c r="AA108" s="353"/>
      <c r="AB108" s="349">
        <f t="shared" si="17"/>
        <v>0</v>
      </c>
      <c r="AC108" s="1"/>
    </row>
    <row r="109" spans="1:29" ht="27" thickBot="1" x14ac:dyDescent="0.35">
      <c r="A109" s="350">
        <v>563</v>
      </c>
      <c r="B109" s="452" t="s">
        <v>139</v>
      </c>
      <c r="C109" s="352">
        <f>SUM(C110:C112)</f>
        <v>0</v>
      </c>
      <c r="D109" s="352">
        <f>SUM(D110:D112)</f>
        <v>0</v>
      </c>
      <c r="E109" s="352">
        <f>SUM(E110:E112)</f>
        <v>0</v>
      </c>
      <c r="F109" s="352">
        <f>SUM(F110:F112)</f>
        <v>0</v>
      </c>
      <c r="G109" s="352">
        <f>SUM(G110:G112)</f>
        <v>0</v>
      </c>
      <c r="H109" s="353">
        <v>0</v>
      </c>
      <c r="I109" s="353">
        <v>0</v>
      </c>
      <c r="J109" s="353">
        <v>0</v>
      </c>
      <c r="K109" s="352">
        <f t="shared" si="22"/>
        <v>0</v>
      </c>
      <c r="L109" s="352"/>
      <c r="M109" s="352"/>
      <c r="N109" s="352">
        <f>+N110+N111+N112</f>
        <v>4000</v>
      </c>
      <c r="O109" s="352">
        <f>+O110+O111+O112</f>
        <v>0</v>
      </c>
      <c r="P109" s="352">
        <f>+P110+P111+P112</f>
        <v>0</v>
      </c>
      <c r="Q109" s="352">
        <f>+Q110+Q111+Q112</f>
        <v>0</v>
      </c>
      <c r="R109" s="352">
        <f t="shared" si="23"/>
        <v>4000</v>
      </c>
      <c r="S109" s="353"/>
      <c r="T109" s="353"/>
      <c r="U109" s="353"/>
      <c r="V109" s="353"/>
      <c r="W109" s="353"/>
      <c r="X109" s="353"/>
      <c r="Y109" s="353"/>
      <c r="Z109" s="353"/>
      <c r="AA109" s="353"/>
      <c r="AB109" s="349">
        <f t="shared" si="17"/>
        <v>4000</v>
      </c>
      <c r="AC109" s="1"/>
    </row>
    <row r="110" spans="1:29" ht="17.25" thickBot="1" x14ac:dyDescent="0.35">
      <c r="A110" s="355">
        <v>56303</v>
      </c>
      <c r="B110" s="451" t="s">
        <v>241</v>
      </c>
      <c r="C110" s="353">
        <v>0</v>
      </c>
      <c r="D110" s="353"/>
      <c r="E110" s="353"/>
      <c r="F110" s="353"/>
      <c r="G110" s="352">
        <f>SUM(C110:F110)</f>
        <v>0</v>
      </c>
      <c r="H110" s="353">
        <v>0</v>
      </c>
      <c r="I110" s="353">
        <v>0</v>
      </c>
      <c r="J110" s="353">
        <v>0</v>
      </c>
      <c r="K110" s="352">
        <f t="shared" si="22"/>
        <v>0</v>
      </c>
      <c r="L110" s="352"/>
      <c r="M110" s="352"/>
      <c r="N110" s="353">
        <v>2000</v>
      </c>
      <c r="O110" s="353"/>
      <c r="P110" s="353"/>
      <c r="Q110" s="353"/>
      <c r="R110" s="352">
        <f t="shared" si="23"/>
        <v>2000</v>
      </c>
      <c r="S110" s="353"/>
      <c r="T110" s="353"/>
      <c r="U110" s="353"/>
      <c r="V110" s="353"/>
      <c r="W110" s="353"/>
      <c r="X110" s="353"/>
      <c r="Y110" s="353"/>
      <c r="Z110" s="353"/>
      <c r="AA110" s="353"/>
      <c r="AB110" s="349">
        <f t="shared" si="17"/>
        <v>2000</v>
      </c>
      <c r="AC110" s="1"/>
    </row>
    <row r="111" spans="1:29" ht="17.25" thickBot="1" x14ac:dyDescent="0.35">
      <c r="A111" s="355">
        <v>56304</v>
      </c>
      <c r="B111" s="451" t="s">
        <v>141</v>
      </c>
      <c r="C111" s="353">
        <v>0</v>
      </c>
      <c r="D111" s="353"/>
      <c r="E111" s="353"/>
      <c r="F111" s="353"/>
      <c r="G111" s="352">
        <f>SUM(C111:F111)</f>
        <v>0</v>
      </c>
      <c r="H111" s="353">
        <v>0</v>
      </c>
      <c r="I111" s="353">
        <v>0</v>
      </c>
      <c r="J111" s="353">
        <v>0</v>
      </c>
      <c r="K111" s="352">
        <f t="shared" si="22"/>
        <v>0</v>
      </c>
      <c r="L111" s="352"/>
      <c r="M111" s="352"/>
      <c r="N111" s="353">
        <v>2000</v>
      </c>
      <c r="O111" s="353"/>
      <c r="P111" s="353"/>
      <c r="Q111" s="353"/>
      <c r="R111" s="352">
        <f t="shared" si="23"/>
        <v>2000</v>
      </c>
      <c r="S111" s="353"/>
      <c r="T111" s="353"/>
      <c r="U111" s="353"/>
      <c r="V111" s="353"/>
      <c r="W111" s="353"/>
      <c r="X111" s="353"/>
      <c r="Y111" s="353"/>
      <c r="Z111" s="353"/>
      <c r="AA111" s="353"/>
      <c r="AB111" s="349">
        <f t="shared" si="17"/>
        <v>2000</v>
      </c>
      <c r="AC111" s="1"/>
    </row>
    <row r="112" spans="1:29" ht="17.25" thickBot="1" x14ac:dyDescent="0.35">
      <c r="A112" s="355">
        <v>56305</v>
      </c>
      <c r="B112" s="451" t="s">
        <v>142</v>
      </c>
      <c r="C112" s="353"/>
      <c r="D112" s="353"/>
      <c r="E112" s="353"/>
      <c r="F112" s="353"/>
      <c r="G112" s="352">
        <f>SUM(C112:F112)</f>
        <v>0</v>
      </c>
      <c r="H112" s="353">
        <v>0</v>
      </c>
      <c r="I112" s="353">
        <v>0</v>
      </c>
      <c r="J112" s="353">
        <v>0</v>
      </c>
      <c r="K112" s="352">
        <f t="shared" si="22"/>
        <v>0</v>
      </c>
      <c r="L112" s="353"/>
      <c r="M112" s="352"/>
      <c r="N112" s="353"/>
      <c r="O112" s="353"/>
      <c r="P112" s="353"/>
      <c r="Q112" s="353"/>
      <c r="R112" s="352">
        <f t="shared" si="23"/>
        <v>0</v>
      </c>
      <c r="S112" s="353"/>
      <c r="T112" s="353"/>
      <c r="U112" s="353"/>
      <c r="V112" s="353"/>
      <c r="W112" s="353"/>
      <c r="X112" s="353"/>
      <c r="Y112" s="353"/>
      <c r="Z112" s="353"/>
      <c r="AA112" s="353"/>
      <c r="AB112" s="349">
        <f t="shared" si="17"/>
        <v>0</v>
      </c>
      <c r="AC112" s="1"/>
    </row>
    <row r="113" spans="1:29" ht="17.25" thickBot="1" x14ac:dyDescent="0.35">
      <c r="A113" s="355"/>
      <c r="B113" s="451"/>
      <c r="C113" s="353"/>
      <c r="D113" s="353"/>
      <c r="E113" s="353"/>
      <c r="F113" s="353"/>
      <c r="G113" s="352"/>
      <c r="H113" s="353"/>
      <c r="I113" s="353"/>
      <c r="J113" s="353"/>
      <c r="K113" s="352"/>
      <c r="L113" s="352"/>
      <c r="M113" s="352"/>
      <c r="N113" s="353"/>
      <c r="O113" s="353"/>
      <c r="P113" s="353"/>
      <c r="Q113" s="353"/>
      <c r="R113" s="352"/>
      <c r="S113" s="353"/>
      <c r="T113" s="353"/>
      <c r="U113" s="353"/>
      <c r="V113" s="353"/>
      <c r="W113" s="353"/>
      <c r="X113" s="353"/>
      <c r="Y113" s="353"/>
      <c r="Z113" s="353"/>
      <c r="AA113" s="353"/>
      <c r="AB113" s="349">
        <f t="shared" si="17"/>
        <v>0</v>
      </c>
      <c r="AC113" s="1"/>
    </row>
    <row r="114" spans="1:29" ht="17.25" thickBot="1" x14ac:dyDescent="0.35">
      <c r="A114" s="356" t="s">
        <v>389</v>
      </c>
      <c r="B114" s="450" t="s">
        <v>143</v>
      </c>
      <c r="C114" s="351">
        <f>+C115+C120+C124+C129</f>
        <v>0</v>
      </c>
      <c r="D114" s="351">
        <f>+D115+D120+D124+D129</f>
        <v>0</v>
      </c>
      <c r="E114" s="351">
        <f>+E115+E120+E124+E129</f>
        <v>0</v>
      </c>
      <c r="F114" s="351">
        <f>+F115+F120+F124+F129</f>
        <v>0</v>
      </c>
      <c r="G114" s="351">
        <f>+G115+G120+G124+G129</f>
        <v>0</v>
      </c>
      <c r="H114" s="352">
        <f>+H115+H124+H129</f>
        <v>7000</v>
      </c>
      <c r="I114" s="352">
        <f>+I115+I120+I124+I129</f>
        <v>37688.379999999997</v>
      </c>
      <c r="J114" s="352">
        <f>+J115+J129</f>
        <v>0</v>
      </c>
      <c r="K114" s="352">
        <f t="shared" ref="K114:K128" si="24">+H114+I114+J114</f>
        <v>44688.38</v>
      </c>
      <c r="L114" s="352">
        <f>+L124+L129</f>
        <v>62000</v>
      </c>
      <c r="M114" s="352">
        <f>+M129</f>
        <v>97064.39</v>
      </c>
      <c r="N114" s="352">
        <f>+N115+N120+N124+N129</f>
        <v>61000</v>
      </c>
      <c r="O114" s="352">
        <f>+O115+O120+O124+O129</f>
        <v>1000</v>
      </c>
      <c r="P114" s="352">
        <f>+P115+P120+P124+P129</f>
        <v>0</v>
      </c>
      <c r="Q114" s="352">
        <f>+Q115+Q120+Q124+Q129</f>
        <v>0</v>
      </c>
      <c r="R114" s="352">
        <f t="shared" ref="R114:R130" si="25">+N114+O114+P114+Q114</f>
        <v>62000</v>
      </c>
      <c r="S114" s="352">
        <f t="shared" ref="S114:AA114" si="26">+S115+S120+S124+S129</f>
        <v>0</v>
      </c>
      <c r="T114" s="352">
        <f t="shared" si="26"/>
        <v>0</v>
      </c>
      <c r="U114" s="352">
        <f t="shared" si="26"/>
        <v>0</v>
      </c>
      <c r="V114" s="352">
        <f t="shared" si="26"/>
        <v>0</v>
      </c>
      <c r="W114" s="352">
        <f t="shared" si="26"/>
        <v>0</v>
      </c>
      <c r="X114" s="352">
        <f t="shared" si="26"/>
        <v>0</v>
      </c>
      <c r="Y114" s="353">
        <f t="shared" si="26"/>
        <v>0</v>
      </c>
      <c r="Z114" s="353">
        <f t="shared" si="26"/>
        <v>0</v>
      </c>
      <c r="AA114" s="353">
        <f t="shared" si="26"/>
        <v>0</v>
      </c>
      <c r="AB114" s="349">
        <f t="shared" si="17"/>
        <v>265752.77</v>
      </c>
      <c r="AC114" s="1"/>
    </row>
    <row r="115" spans="1:29" ht="17.25" thickBot="1" x14ac:dyDescent="0.35">
      <c r="A115" s="356" t="s">
        <v>390</v>
      </c>
      <c r="B115" s="450" t="s">
        <v>144</v>
      </c>
      <c r="C115" s="352">
        <f>SUM(C116:C119)</f>
        <v>0</v>
      </c>
      <c r="D115" s="352">
        <f>SUM(D116:D119)</f>
        <v>0</v>
      </c>
      <c r="E115" s="352">
        <f>SUM(E116:E119)</f>
        <v>0</v>
      </c>
      <c r="F115" s="352">
        <f>SUM(F116:F119)</f>
        <v>0</v>
      </c>
      <c r="G115" s="352">
        <f>SUM(C115:F115)</f>
        <v>0</v>
      </c>
      <c r="H115" s="352">
        <f>SUM(H116:H119)</f>
        <v>0</v>
      </c>
      <c r="I115" s="352">
        <f>SUM(I116:I119)</f>
        <v>0</v>
      </c>
      <c r="J115" s="353">
        <f>SUM(J116:J119)</f>
        <v>0</v>
      </c>
      <c r="K115" s="352">
        <f t="shared" si="24"/>
        <v>0</v>
      </c>
      <c r="L115" s="352"/>
      <c r="M115" s="352"/>
      <c r="N115" s="352">
        <f>SUM(N116:N119)</f>
        <v>1000</v>
      </c>
      <c r="O115" s="352">
        <f>SUM(O116:O119)</f>
        <v>1000</v>
      </c>
      <c r="P115" s="352">
        <f>SUM(P116:P119)</f>
        <v>0</v>
      </c>
      <c r="Q115" s="352">
        <f>SUM(Q116:Q119)</f>
        <v>0</v>
      </c>
      <c r="R115" s="352">
        <f t="shared" si="25"/>
        <v>2000</v>
      </c>
      <c r="S115" s="353"/>
      <c r="T115" s="353"/>
      <c r="U115" s="353"/>
      <c r="V115" s="353"/>
      <c r="W115" s="353"/>
      <c r="X115" s="353"/>
      <c r="Y115" s="353"/>
      <c r="Z115" s="353"/>
      <c r="AA115" s="353"/>
      <c r="AB115" s="349">
        <f t="shared" si="17"/>
        <v>2000</v>
      </c>
      <c r="AC115" s="1"/>
    </row>
    <row r="116" spans="1:29" ht="17.25" thickBot="1" x14ac:dyDescent="0.35">
      <c r="A116" s="354" t="s">
        <v>391</v>
      </c>
      <c r="B116" s="449" t="s">
        <v>392</v>
      </c>
      <c r="C116" s="567">
        <v>0</v>
      </c>
      <c r="D116" s="353"/>
      <c r="E116" s="353">
        <v>0</v>
      </c>
      <c r="F116" s="353">
        <v>0</v>
      </c>
      <c r="G116" s="352">
        <f>SUM(C116:F116)</f>
        <v>0</v>
      </c>
      <c r="H116" s="353"/>
      <c r="I116" s="353"/>
      <c r="J116" s="353"/>
      <c r="K116" s="352">
        <f t="shared" si="24"/>
        <v>0</v>
      </c>
      <c r="L116" s="352"/>
      <c r="M116" s="352"/>
      <c r="N116" s="567"/>
      <c r="O116" s="353"/>
      <c r="P116" s="353"/>
      <c r="Q116" s="353"/>
      <c r="R116" s="352">
        <f t="shared" si="25"/>
        <v>0</v>
      </c>
      <c r="S116" s="353"/>
      <c r="T116" s="353"/>
      <c r="U116" s="353"/>
      <c r="V116" s="353"/>
      <c r="W116" s="353"/>
      <c r="X116" s="353"/>
      <c r="Y116" s="353"/>
      <c r="Z116" s="353"/>
      <c r="AA116" s="353"/>
      <c r="AB116" s="349">
        <f t="shared" si="17"/>
        <v>0</v>
      </c>
      <c r="AC116" s="1"/>
    </row>
    <row r="117" spans="1:29" ht="17.25" thickBot="1" x14ac:dyDescent="0.35">
      <c r="A117" s="354" t="s">
        <v>393</v>
      </c>
      <c r="B117" s="449" t="s">
        <v>394</v>
      </c>
      <c r="C117" s="567">
        <v>0</v>
      </c>
      <c r="D117" s="353">
        <v>0</v>
      </c>
      <c r="E117" s="353">
        <v>0</v>
      </c>
      <c r="F117" s="353">
        <v>0</v>
      </c>
      <c r="G117" s="352">
        <f>SUM(C117:F117)</f>
        <v>0</v>
      </c>
      <c r="H117" s="353"/>
      <c r="I117" s="353"/>
      <c r="J117" s="353"/>
      <c r="K117" s="352">
        <f t="shared" si="24"/>
        <v>0</v>
      </c>
      <c r="L117" s="352"/>
      <c r="M117" s="352"/>
      <c r="N117" s="567"/>
      <c r="O117" s="353"/>
      <c r="P117" s="353"/>
      <c r="Q117" s="353"/>
      <c r="R117" s="352">
        <f t="shared" si="25"/>
        <v>0</v>
      </c>
      <c r="S117" s="353"/>
      <c r="T117" s="353"/>
      <c r="U117" s="353"/>
      <c r="V117" s="353"/>
      <c r="W117" s="353"/>
      <c r="X117" s="353"/>
      <c r="Y117" s="353"/>
      <c r="Z117" s="353"/>
      <c r="AA117" s="353"/>
      <c r="AB117" s="349">
        <f t="shared" si="17"/>
        <v>0</v>
      </c>
      <c r="AC117" s="1"/>
    </row>
    <row r="118" spans="1:29" ht="17.25" thickBot="1" x14ac:dyDescent="0.35">
      <c r="A118" s="354" t="s">
        <v>397</v>
      </c>
      <c r="B118" s="449" t="s">
        <v>147</v>
      </c>
      <c r="C118" s="567">
        <v>0</v>
      </c>
      <c r="D118" s="353"/>
      <c r="E118" s="353">
        <v>0</v>
      </c>
      <c r="F118" s="353">
        <v>0</v>
      </c>
      <c r="G118" s="352">
        <f>SUM(C118:F118)</f>
        <v>0</v>
      </c>
      <c r="H118" s="353"/>
      <c r="I118" s="353"/>
      <c r="J118" s="353"/>
      <c r="K118" s="352">
        <f t="shared" si="24"/>
        <v>0</v>
      </c>
      <c r="L118" s="352"/>
      <c r="M118" s="352"/>
      <c r="N118" s="567">
        <v>1000</v>
      </c>
      <c r="O118" s="353">
        <v>1000</v>
      </c>
      <c r="P118" s="353"/>
      <c r="Q118" s="353"/>
      <c r="R118" s="352">
        <f t="shared" si="25"/>
        <v>2000</v>
      </c>
      <c r="S118" s="353"/>
      <c r="T118" s="353"/>
      <c r="U118" s="353"/>
      <c r="V118" s="353"/>
      <c r="W118" s="353"/>
      <c r="X118" s="353"/>
      <c r="Y118" s="353"/>
      <c r="Z118" s="353"/>
      <c r="AA118" s="353"/>
      <c r="AB118" s="349">
        <f t="shared" si="17"/>
        <v>2000</v>
      </c>
      <c r="AC118" s="1"/>
    </row>
    <row r="119" spans="1:29" ht="17.25" thickBot="1" x14ac:dyDescent="0.35">
      <c r="A119" s="354" t="s">
        <v>398</v>
      </c>
      <c r="B119" s="449" t="s">
        <v>163</v>
      </c>
      <c r="C119" s="567" t="s">
        <v>8</v>
      </c>
      <c r="D119" s="353"/>
      <c r="E119" s="353"/>
      <c r="F119" s="567">
        <v>0</v>
      </c>
      <c r="G119" s="352">
        <f>SUM(C119:F119)</f>
        <v>0</v>
      </c>
      <c r="H119" s="353"/>
      <c r="I119" s="353"/>
      <c r="J119" s="353"/>
      <c r="K119" s="352">
        <f t="shared" si="24"/>
        <v>0</v>
      </c>
      <c r="L119" s="352"/>
      <c r="M119" s="352"/>
      <c r="N119" s="567">
        <v>0</v>
      </c>
      <c r="O119" s="353">
        <v>0</v>
      </c>
      <c r="P119" s="353">
        <v>0</v>
      </c>
      <c r="Q119" s="567">
        <v>0</v>
      </c>
      <c r="R119" s="352">
        <f t="shared" si="25"/>
        <v>0</v>
      </c>
      <c r="S119" s="353"/>
      <c r="T119" s="353"/>
      <c r="U119" s="353"/>
      <c r="V119" s="353"/>
      <c r="W119" s="353"/>
      <c r="X119" s="353"/>
      <c r="Y119" s="353"/>
      <c r="Z119" s="353"/>
      <c r="AA119" s="353"/>
      <c r="AB119" s="349">
        <f t="shared" si="17"/>
        <v>0</v>
      </c>
      <c r="AC119" s="1"/>
    </row>
    <row r="120" spans="1:29" ht="17.25" thickBot="1" x14ac:dyDescent="0.35">
      <c r="A120" s="356" t="s">
        <v>456</v>
      </c>
      <c r="B120" s="450" t="s">
        <v>148</v>
      </c>
      <c r="C120" s="352">
        <f>SUM(C121:C123)</f>
        <v>0</v>
      </c>
      <c r="D120" s="352">
        <f>SUM(D121:D123)</f>
        <v>0</v>
      </c>
      <c r="E120" s="352">
        <f>SUM(E121:E123)</f>
        <v>0</v>
      </c>
      <c r="F120" s="352">
        <f>SUM(F121:F123)</f>
        <v>0</v>
      </c>
      <c r="G120" s="352">
        <f>+C120+D120+E120</f>
        <v>0</v>
      </c>
      <c r="H120" s="353"/>
      <c r="I120" s="352">
        <f>SUM(I121:I123)</f>
        <v>0</v>
      </c>
      <c r="J120" s="353"/>
      <c r="K120" s="352">
        <f t="shared" si="24"/>
        <v>0</v>
      </c>
      <c r="L120" s="352"/>
      <c r="M120" s="352"/>
      <c r="N120" s="353"/>
      <c r="O120" s="353"/>
      <c r="P120" s="353"/>
      <c r="Q120" s="353"/>
      <c r="R120" s="352">
        <f t="shared" si="25"/>
        <v>0</v>
      </c>
      <c r="S120" s="353"/>
      <c r="T120" s="353"/>
      <c r="U120" s="353"/>
      <c r="V120" s="353"/>
      <c r="W120" s="353"/>
      <c r="X120" s="353"/>
      <c r="Y120" s="353"/>
      <c r="Z120" s="353"/>
      <c r="AA120" s="353"/>
      <c r="AB120" s="349">
        <f t="shared" si="17"/>
        <v>0</v>
      </c>
      <c r="AC120" s="1"/>
    </row>
    <row r="121" spans="1:29" ht="17.25" thickBot="1" x14ac:dyDescent="0.35">
      <c r="A121" s="354" t="s">
        <v>457</v>
      </c>
      <c r="B121" s="449" t="s">
        <v>149</v>
      </c>
      <c r="C121" s="353">
        <v>0</v>
      </c>
      <c r="D121" s="353"/>
      <c r="E121" s="353"/>
      <c r="F121" s="353"/>
      <c r="G121" s="352">
        <f t="shared" ref="G121:G128" si="27">SUM(C121:F121)</f>
        <v>0</v>
      </c>
      <c r="H121" s="353"/>
      <c r="I121" s="353"/>
      <c r="J121" s="353"/>
      <c r="K121" s="352">
        <f t="shared" si="24"/>
        <v>0</v>
      </c>
      <c r="L121" s="353"/>
      <c r="M121" s="352"/>
      <c r="N121" s="353"/>
      <c r="O121" s="353"/>
      <c r="P121" s="353"/>
      <c r="Q121" s="353"/>
      <c r="R121" s="352">
        <f t="shared" si="25"/>
        <v>0</v>
      </c>
      <c r="S121" s="353"/>
      <c r="T121" s="353"/>
      <c r="U121" s="353"/>
      <c r="V121" s="353"/>
      <c r="W121" s="353"/>
      <c r="X121" s="353"/>
      <c r="Y121" s="353"/>
      <c r="Z121" s="353"/>
      <c r="AA121" s="353"/>
      <c r="AB121" s="349">
        <f t="shared" si="17"/>
        <v>0</v>
      </c>
      <c r="AC121" s="1"/>
    </row>
    <row r="122" spans="1:29" ht="17.25" thickBot="1" x14ac:dyDescent="0.35">
      <c r="A122" s="354" t="s">
        <v>458</v>
      </c>
      <c r="B122" s="449" t="s">
        <v>459</v>
      </c>
      <c r="C122" s="353"/>
      <c r="D122" s="353"/>
      <c r="E122" s="353"/>
      <c r="F122" s="353"/>
      <c r="G122" s="352">
        <f t="shared" si="27"/>
        <v>0</v>
      </c>
      <c r="H122" s="353"/>
      <c r="I122" s="353"/>
      <c r="J122" s="353"/>
      <c r="K122" s="352">
        <f t="shared" si="24"/>
        <v>0</v>
      </c>
      <c r="L122" s="352"/>
      <c r="M122" s="352"/>
      <c r="N122" s="353"/>
      <c r="O122" s="353"/>
      <c r="P122" s="353"/>
      <c r="Q122" s="353"/>
      <c r="R122" s="352">
        <f t="shared" si="25"/>
        <v>0</v>
      </c>
      <c r="S122" s="353"/>
      <c r="T122" s="353"/>
      <c r="U122" s="353"/>
      <c r="V122" s="353"/>
      <c r="W122" s="353"/>
      <c r="X122" s="353"/>
      <c r="Y122" s="353"/>
      <c r="Z122" s="353"/>
      <c r="AA122" s="353"/>
      <c r="AB122" s="349">
        <f t="shared" si="17"/>
        <v>0</v>
      </c>
      <c r="AC122" s="1"/>
    </row>
    <row r="123" spans="1:29" ht="17.25" thickBot="1" x14ac:dyDescent="0.35">
      <c r="A123" s="354" t="s">
        <v>460</v>
      </c>
      <c r="B123" s="449" t="s">
        <v>461</v>
      </c>
      <c r="C123" s="353"/>
      <c r="D123" s="353"/>
      <c r="E123" s="353"/>
      <c r="F123" s="353"/>
      <c r="G123" s="352">
        <f t="shared" si="27"/>
        <v>0</v>
      </c>
      <c r="H123" s="353"/>
      <c r="I123" s="353"/>
      <c r="J123" s="353"/>
      <c r="K123" s="352">
        <f t="shared" si="24"/>
        <v>0</v>
      </c>
      <c r="L123" s="352"/>
      <c r="M123" s="352"/>
      <c r="N123" s="353"/>
      <c r="O123" s="353"/>
      <c r="P123" s="353"/>
      <c r="Q123" s="353"/>
      <c r="R123" s="352">
        <f t="shared" si="25"/>
        <v>0</v>
      </c>
      <c r="S123" s="353"/>
      <c r="T123" s="353"/>
      <c r="U123" s="353"/>
      <c r="V123" s="353"/>
      <c r="W123" s="353"/>
      <c r="X123" s="353"/>
      <c r="Y123" s="353"/>
      <c r="Z123" s="353"/>
      <c r="AA123" s="353"/>
      <c r="AB123" s="349">
        <f t="shared" si="17"/>
        <v>0</v>
      </c>
      <c r="AC123" s="1"/>
    </row>
    <row r="124" spans="1:29" ht="17.25" thickBot="1" x14ac:dyDescent="0.35">
      <c r="A124" s="350">
        <v>615</v>
      </c>
      <c r="B124" s="450" t="s">
        <v>150</v>
      </c>
      <c r="C124" s="352">
        <f>SUM(C125:C128)</f>
        <v>0</v>
      </c>
      <c r="D124" s="352">
        <f>SUM(D125:D128)</f>
        <v>0</v>
      </c>
      <c r="E124" s="352">
        <f>SUM(E125:E128)</f>
        <v>0</v>
      </c>
      <c r="F124" s="352">
        <f>SUM(F125:F128)</f>
        <v>0</v>
      </c>
      <c r="G124" s="352">
        <f t="shared" si="27"/>
        <v>0</v>
      </c>
      <c r="H124" s="352">
        <f>+H128</f>
        <v>0</v>
      </c>
      <c r="I124" s="352">
        <f>+I128</f>
        <v>0</v>
      </c>
      <c r="J124" s="353"/>
      <c r="K124" s="352">
        <f t="shared" si="24"/>
        <v>0</v>
      </c>
      <c r="L124" s="352">
        <f>L128</f>
        <v>0</v>
      </c>
      <c r="M124" s="352"/>
      <c r="N124" s="353"/>
      <c r="O124" s="353"/>
      <c r="P124" s="353"/>
      <c r="Q124" s="353"/>
      <c r="R124" s="352">
        <f t="shared" si="25"/>
        <v>0</v>
      </c>
      <c r="S124" s="353"/>
      <c r="T124" s="353"/>
      <c r="U124" s="353"/>
      <c r="V124" s="353"/>
      <c r="W124" s="353"/>
      <c r="X124" s="353"/>
      <c r="Y124" s="353"/>
      <c r="Z124" s="353"/>
      <c r="AA124" s="353"/>
      <c r="AB124" s="349">
        <f t="shared" si="17"/>
        <v>0</v>
      </c>
      <c r="AC124" s="1"/>
    </row>
    <row r="125" spans="1:29" ht="17.25" thickBot="1" x14ac:dyDescent="0.35">
      <c r="A125" s="355">
        <v>61501</v>
      </c>
      <c r="B125" s="449" t="s">
        <v>263</v>
      </c>
      <c r="C125" s="353"/>
      <c r="D125" s="353"/>
      <c r="E125" s="353"/>
      <c r="F125" s="353"/>
      <c r="G125" s="352">
        <f t="shared" si="27"/>
        <v>0</v>
      </c>
      <c r="H125" s="353"/>
      <c r="I125" s="353"/>
      <c r="J125" s="353"/>
      <c r="K125" s="352">
        <f t="shared" si="24"/>
        <v>0</v>
      </c>
      <c r="L125" s="352"/>
      <c r="M125" s="352"/>
      <c r="N125" s="353"/>
      <c r="O125" s="353"/>
      <c r="P125" s="353"/>
      <c r="Q125" s="353"/>
      <c r="R125" s="352">
        <f t="shared" si="25"/>
        <v>0</v>
      </c>
      <c r="S125" s="353"/>
      <c r="T125" s="353"/>
      <c r="U125" s="353"/>
      <c r="V125" s="353"/>
      <c r="W125" s="353"/>
      <c r="X125" s="353"/>
      <c r="Y125" s="353"/>
      <c r="Z125" s="353"/>
      <c r="AA125" s="353"/>
      <c r="AB125" s="349">
        <f t="shared" si="17"/>
        <v>0</v>
      </c>
      <c r="AC125" s="1"/>
    </row>
    <row r="126" spans="1:29" ht="17.25" thickBot="1" x14ac:dyDescent="0.35">
      <c r="A126" s="355">
        <v>61502</v>
      </c>
      <c r="B126" s="449" t="s">
        <v>264</v>
      </c>
      <c r="C126" s="353"/>
      <c r="D126" s="353"/>
      <c r="E126" s="353"/>
      <c r="F126" s="353"/>
      <c r="G126" s="352">
        <f t="shared" si="27"/>
        <v>0</v>
      </c>
      <c r="H126" s="353"/>
      <c r="I126" s="353"/>
      <c r="J126" s="353"/>
      <c r="K126" s="352">
        <f t="shared" si="24"/>
        <v>0</v>
      </c>
      <c r="L126" s="352"/>
      <c r="M126" s="352"/>
      <c r="N126" s="353"/>
      <c r="O126" s="353"/>
      <c r="P126" s="353"/>
      <c r="Q126" s="353"/>
      <c r="R126" s="352">
        <f t="shared" si="25"/>
        <v>0</v>
      </c>
      <c r="S126" s="353"/>
      <c r="T126" s="353"/>
      <c r="U126" s="353"/>
      <c r="V126" s="353"/>
      <c r="W126" s="353"/>
      <c r="X126" s="353"/>
      <c r="Y126" s="353"/>
      <c r="Z126" s="353"/>
      <c r="AA126" s="353"/>
      <c r="AB126" s="349">
        <f t="shared" si="17"/>
        <v>0</v>
      </c>
      <c r="AC126" s="1"/>
    </row>
    <row r="127" spans="1:29" ht="17.25" thickBot="1" x14ac:dyDescent="0.35">
      <c r="A127" s="355">
        <v>61503</v>
      </c>
      <c r="B127" s="449" t="s">
        <v>462</v>
      </c>
      <c r="C127" s="353"/>
      <c r="D127" s="353"/>
      <c r="E127" s="353"/>
      <c r="F127" s="353"/>
      <c r="G127" s="352">
        <f t="shared" si="27"/>
        <v>0</v>
      </c>
      <c r="H127" s="353"/>
      <c r="I127" s="353"/>
      <c r="J127" s="353"/>
      <c r="K127" s="352">
        <f t="shared" si="24"/>
        <v>0</v>
      </c>
      <c r="L127" s="352"/>
      <c r="M127" s="352"/>
      <c r="N127" s="353"/>
      <c r="O127" s="353"/>
      <c r="P127" s="353"/>
      <c r="Q127" s="353"/>
      <c r="R127" s="352">
        <f t="shared" si="25"/>
        <v>0</v>
      </c>
      <c r="S127" s="353"/>
      <c r="T127" s="353"/>
      <c r="U127" s="353"/>
      <c r="V127" s="353"/>
      <c r="W127" s="353"/>
      <c r="X127" s="353"/>
      <c r="Y127" s="353"/>
      <c r="Z127" s="353"/>
      <c r="AA127" s="353"/>
      <c r="AB127" s="349">
        <f t="shared" si="17"/>
        <v>0</v>
      </c>
      <c r="AC127" s="1"/>
    </row>
    <row r="128" spans="1:29" ht="27" thickBot="1" x14ac:dyDescent="0.35">
      <c r="A128" s="355">
        <v>61599</v>
      </c>
      <c r="B128" s="449" t="s">
        <v>265</v>
      </c>
      <c r="C128" s="353"/>
      <c r="D128" s="353"/>
      <c r="E128" s="353">
        <v>0</v>
      </c>
      <c r="F128" s="353"/>
      <c r="G128" s="352">
        <f t="shared" si="27"/>
        <v>0</v>
      </c>
      <c r="H128" s="353"/>
      <c r="I128" s="353"/>
      <c r="J128" s="353"/>
      <c r="K128" s="352">
        <f t="shared" si="24"/>
        <v>0</v>
      </c>
      <c r="L128" s="353"/>
      <c r="M128" s="352"/>
      <c r="N128" s="353"/>
      <c r="O128" s="353"/>
      <c r="P128" s="353"/>
      <c r="Q128" s="353"/>
      <c r="R128" s="352">
        <f t="shared" si="25"/>
        <v>0</v>
      </c>
      <c r="S128" s="353"/>
      <c r="T128" s="353"/>
      <c r="U128" s="353"/>
      <c r="V128" s="353"/>
      <c r="W128" s="353"/>
      <c r="X128" s="353"/>
      <c r="Y128" s="353"/>
      <c r="Z128" s="353"/>
      <c r="AA128" s="353"/>
      <c r="AB128" s="349">
        <f t="shared" ref="AB128:AB133" si="28">+G128+K128+L128+M128+R128+U128+X128+AA128</f>
        <v>0</v>
      </c>
      <c r="AC128" s="1"/>
    </row>
    <row r="129" spans="1:29" ht="17.25" thickBot="1" x14ac:dyDescent="0.35">
      <c r="A129" s="350">
        <v>616</v>
      </c>
      <c r="B129" s="450" t="s">
        <v>152</v>
      </c>
      <c r="C129" s="352">
        <f>SUM(C130:C136)</f>
        <v>0</v>
      </c>
      <c r="D129" s="352"/>
      <c r="E129" s="352">
        <f>SUM(E130:E136)</f>
        <v>0</v>
      </c>
      <c r="F129" s="352"/>
      <c r="G129" s="352">
        <f>+C129+D129+E129</f>
        <v>0</v>
      </c>
      <c r="H129" s="352">
        <f t="shared" ref="H129:P129" si="29">SUM(H130:H136)</f>
        <v>7000</v>
      </c>
      <c r="I129" s="352">
        <f t="shared" si="29"/>
        <v>37688.379999999997</v>
      </c>
      <c r="J129" s="353">
        <f t="shared" si="29"/>
        <v>0</v>
      </c>
      <c r="K129" s="352">
        <f t="shared" si="29"/>
        <v>44688.38</v>
      </c>
      <c r="L129" s="352">
        <f t="shared" si="29"/>
        <v>62000</v>
      </c>
      <c r="M129" s="352">
        <f t="shared" si="29"/>
        <v>97064.39</v>
      </c>
      <c r="N129" s="353">
        <f t="shared" si="29"/>
        <v>60000</v>
      </c>
      <c r="O129" s="353">
        <f t="shared" si="29"/>
        <v>0</v>
      </c>
      <c r="P129" s="353">
        <f t="shared" si="29"/>
        <v>0</v>
      </c>
      <c r="Q129" s="353"/>
      <c r="R129" s="352">
        <f t="shared" si="25"/>
        <v>60000</v>
      </c>
      <c r="S129" s="352">
        <f t="shared" ref="S129:AA129" si="30">SUM(S130:S136)</f>
        <v>0</v>
      </c>
      <c r="T129" s="353">
        <f t="shared" si="30"/>
        <v>0</v>
      </c>
      <c r="U129" s="352">
        <f t="shared" si="30"/>
        <v>0</v>
      </c>
      <c r="V129" s="352">
        <f t="shared" si="30"/>
        <v>0</v>
      </c>
      <c r="W129" s="352">
        <f t="shared" si="30"/>
        <v>0</v>
      </c>
      <c r="X129" s="352">
        <f t="shared" si="30"/>
        <v>0</v>
      </c>
      <c r="Y129" s="353">
        <f t="shared" si="30"/>
        <v>0</v>
      </c>
      <c r="Z129" s="353">
        <f t="shared" si="30"/>
        <v>0</v>
      </c>
      <c r="AA129" s="353">
        <f t="shared" si="30"/>
        <v>0</v>
      </c>
      <c r="AB129" s="349">
        <f t="shared" si="28"/>
        <v>263752.77</v>
      </c>
      <c r="AC129" s="1"/>
    </row>
    <row r="130" spans="1:29" ht="17.25" thickBot="1" x14ac:dyDescent="0.35">
      <c r="A130" s="355">
        <v>61601</v>
      </c>
      <c r="B130" s="449" t="s">
        <v>153</v>
      </c>
      <c r="C130" s="353"/>
      <c r="D130" s="353"/>
      <c r="E130" s="567">
        <v>0</v>
      </c>
      <c r="F130" s="353"/>
      <c r="G130" s="352">
        <f>SUM(C130:F130)</f>
        <v>0</v>
      </c>
      <c r="H130" s="353"/>
      <c r="I130" s="353">
        <v>10188.379999999999</v>
      </c>
      <c r="J130" s="353"/>
      <c r="K130" s="352">
        <f t="shared" ref="K130:K136" si="31">+H130+I130+J130</f>
        <v>10188.379999999999</v>
      </c>
      <c r="L130" s="353"/>
      <c r="M130" s="353"/>
      <c r="N130" s="353"/>
      <c r="O130" s="353"/>
      <c r="P130" s="353"/>
      <c r="Q130" s="353"/>
      <c r="R130" s="352">
        <f t="shared" si="25"/>
        <v>0</v>
      </c>
      <c r="S130" s="353"/>
      <c r="T130" s="353"/>
      <c r="U130" s="352">
        <f>S130</f>
        <v>0</v>
      </c>
      <c r="V130" s="353"/>
      <c r="W130" s="353"/>
      <c r="X130" s="353"/>
      <c r="Y130" s="353"/>
      <c r="Z130" s="353"/>
      <c r="AA130" s="353"/>
      <c r="AB130" s="349">
        <f t="shared" si="28"/>
        <v>10188.379999999999</v>
      </c>
      <c r="AC130" s="1"/>
    </row>
    <row r="131" spans="1:29" ht="17.25" thickBot="1" x14ac:dyDescent="0.35">
      <c r="A131" s="355">
        <v>61602</v>
      </c>
      <c r="B131" s="449" t="s">
        <v>475</v>
      </c>
      <c r="C131" s="353"/>
      <c r="D131" s="353"/>
      <c r="E131" s="567"/>
      <c r="F131" s="353"/>
      <c r="G131" s="352"/>
      <c r="H131" s="353"/>
      <c r="I131" s="353">
        <f>+'Proy. Inv. Econ.'!D44</f>
        <v>0</v>
      </c>
      <c r="J131" s="353"/>
      <c r="K131" s="352">
        <f t="shared" si="31"/>
        <v>0</v>
      </c>
      <c r="L131" s="353"/>
      <c r="M131" s="353"/>
      <c r="N131" s="353"/>
      <c r="O131" s="353"/>
      <c r="P131" s="353"/>
      <c r="Q131" s="353"/>
      <c r="R131" s="352"/>
      <c r="S131" s="353"/>
      <c r="T131" s="353"/>
      <c r="U131" s="353"/>
      <c r="V131" s="353"/>
      <c r="W131" s="353"/>
      <c r="X131" s="353"/>
      <c r="Y131" s="353"/>
      <c r="Z131" s="353"/>
      <c r="AA131" s="353"/>
      <c r="AB131" s="349">
        <f t="shared" si="28"/>
        <v>0</v>
      </c>
      <c r="AC131" s="1"/>
    </row>
    <row r="132" spans="1:29" ht="17.25" thickBot="1" x14ac:dyDescent="0.35">
      <c r="A132" s="355">
        <v>61603</v>
      </c>
      <c r="B132" s="449" t="s">
        <v>154</v>
      </c>
      <c r="C132" s="353"/>
      <c r="D132" s="353"/>
      <c r="E132" s="567">
        <v>0</v>
      </c>
      <c r="F132" s="353"/>
      <c r="G132" s="352">
        <f>SUM(C132:F132)</f>
        <v>0</v>
      </c>
      <c r="H132" s="353">
        <v>7000</v>
      </c>
      <c r="I132" s="353">
        <f>+'Proy. Inv. Econ.'!D47</f>
        <v>0</v>
      </c>
      <c r="J132" s="353"/>
      <c r="K132" s="352">
        <f t="shared" si="31"/>
        <v>7000</v>
      </c>
      <c r="L132" s="353">
        <v>62000</v>
      </c>
      <c r="M132" s="353">
        <v>97064.39</v>
      </c>
      <c r="N132" s="353">
        <v>60000</v>
      </c>
      <c r="O132" s="353"/>
      <c r="P132" s="353"/>
      <c r="Q132" s="353"/>
      <c r="R132" s="352">
        <f>+N132+O132+P132+Q132</f>
        <v>60000</v>
      </c>
      <c r="S132" s="353"/>
      <c r="T132" s="353"/>
      <c r="U132" s="353"/>
      <c r="V132" s="353"/>
      <c r="W132" s="353"/>
      <c r="X132" s="353">
        <f>SUM(V132:W132)</f>
        <v>0</v>
      </c>
      <c r="Y132" s="353"/>
      <c r="Z132" s="353"/>
      <c r="AA132" s="353"/>
      <c r="AB132" s="349">
        <f t="shared" si="28"/>
        <v>226064.39</v>
      </c>
      <c r="AC132" s="1"/>
    </row>
    <row r="133" spans="1:29" ht="17.25" thickBot="1" x14ac:dyDescent="0.35">
      <c r="A133" s="355">
        <v>61604</v>
      </c>
      <c r="B133" s="449" t="s">
        <v>155</v>
      </c>
      <c r="C133" s="353"/>
      <c r="D133" s="353"/>
      <c r="E133" s="567">
        <v>0</v>
      </c>
      <c r="F133" s="353"/>
      <c r="G133" s="352">
        <f>SUM(C133:F133)</f>
        <v>0</v>
      </c>
      <c r="H133" s="353">
        <f>+'Proy. Inv. Soc.'!D32</f>
        <v>0</v>
      </c>
      <c r="I133" s="353">
        <v>20500</v>
      </c>
      <c r="J133" s="353"/>
      <c r="K133" s="352">
        <f t="shared" si="31"/>
        <v>20500</v>
      </c>
      <c r="L133" s="353"/>
      <c r="M133" s="353"/>
      <c r="N133" s="353"/>
      <c r="O133" s="353"/>
      <c r="P133" s="353"/>
      <c r="Q133" s="353"/>
      <c r="R133" s="352">
        <f>+N133+O133+P133+Q133</f>
        <v>0</v>
      </c>
      <c r="S133" s="353"/>
      <c r="T133" s="353"/>
      <c r="U133" s="353"/>
      <c r="V133" s="353"/>
      <c r="W133" s="353"/>
      <c r="X133" s="353"/>
      <c r="Y133" s="353"/>
      <c r="Z133" s="353"/>
      <c r="AA133" s="353"/>
      <c r="AB133" s="349">
        <f t="shared" si="28"/>
        <v>20500</v>
      </c>
      <c r="AC133" s="1"/>
    </row>
    <row r="134" spans="1:29" ht="17.25" thickBot="1" x14ac:dyDescent="0.35">
      <c r="A134" s="355">
        <v>61606</v>
      </c>
      <c r="B134" s="449" t="s">
        <v>159</v>
      </c>
      <c r="C134" s="353"/>
      <c r="D134" s="353"/>
      <c r="E134" s="567">
        <v>0</v>
      </c>
      <c r="F134" s="353"/>
      <c r="G134" s="352">
        <f>SUM(C134:F134)</f>
        <v>0</v>
      </c>
      <c r="H134" s="353"/>
      <c r="I134" s="353">
        <f>+'Proy. Inv. Econ.'!D56</f>
        <v>0</v>
      </c>
      <c r="J134" s="353"/>
      <c r="K134" s="352">
        <f t="shared" si="31"/>
        <v>0</v>
      </c>
      <c r="L134" s="352"/>
      <c r="M134" s="352"/>
      <c r="N134" s="353"/>
      <c r="O134" s="353"/>
      <c r="P134" s="353"/>
      <c r="Q134" s="353"/>
      <c r="R134" s="352">
        <f>+N134+O134+P134+Q134</f>
        <v>0</v>
      </c>
      <c r="S134" s="353"/>
      <c r="T134" s="353"/>
      <c r="U134" s="353"/>
      <c r="V134" s="353"/>
      <c r="W134" s="353"/>
      <c r="X134" s="353"/>
      <c r="Y134" s="353"/>
      <c r="Z134" s="353"/>
      <c r="AA134" s="353"/>
      <c r="AB134" s="349">
        <f t="shared" ref="AB134:AB150" si="32">+G134+K134+L134+M134+R134+U134+X134+AA134</f>
        <v>0</v>
      </c>
      <c r="AC134" s="1"/>
    </row>
    <row r="135" spans="1:29" ht="17.25" thickBot="1" x14ac:dyDescent="0.35">
      <c r="A135" s="355">
        <v>61607</v>
      </c>
      <c r="B135" s="451" t="s">
        <v>156</v>
      </c>
      <c r="C135" s="353"/>
      <c r="D135" s="353"/>
      <c r="E135" s="567">
        <v>0</v>
      </c>
      <c r="F135" s="353"/>
      <c r="G135" s="352">
        <f>SUM(C135:F135)</f>
        <v>0</v>
      </c>
      <c r="H135" s="353"/>
      <c r="I135" s="353">
        <v>7000</v>
      </c>
      <c r="J135" s="353"/>
      <c r="K135" s="352">
        <f t="shared" si="31"/>
        <v>7000</v>
      </c>
      <c r="L135" s="353">
        <f>+'Proy. Inv. Econ.'!G59</f>
        <v>0</v>
      </c>
      <c r="M135" s="352"/>
      <c r="N135" s="353"/>
      <c r="O135" s="353"/>
      <c r="P135" s="353"/>
      <c r="Q135" s="353"/>
      <c r="R135" s="352">
        <f>+N135+O135+P135+Q135</f>
        <v>0</v>
      </c>
      <c r="S135" s="353"/>
      <c r="T135" s="353"/>
      <c r="U135" s="353"/>
      <c r="V135" s="353"/>
      <c r="W135" s="353"/>
      <c r="X135" s="353"/>
      <c r="Y135" s="353"/>
      <c r="Z135" s="353"/>
      <c r="AA135" s="353"/>
      <c r="AB135" s="349">
        <f t="shared" si="32"/>
        <v>7000</v>
      </c>
      <c r="AC135" s="1"/>
    </row>
    <row r="136" spans="1:29" ht="17.25" thickBot="1" x14ac:dyDescent="0.35">
      <c r="A136" s="355">
        <v>61699</v>
      </c>
      <c r="B136" s="451" t="s">
        <v>160</v>
      </c>
      <c r="C136" s="353"/>
      <c r="D136" s="353"/>
      <c r="E136" s="567">
        <v>0</v>
      </c>
      <c r="F136" s="353"/>
      <c r="G136" s="352">
        <f>SUM(C136:F136)</f>
        <v>0</v>
      </c>
      <c r="H136" s="353">
        <f>+'Proy. Inv. Soc.'!D33</f>
        <v>0</v>
      </c>
      <c r="I136" s="353"/>
      <c r="J136" s="353"/>
      <c r="K136" s="352">
        <f t="shared" si="31"/>
        <v>0</v>
      </c>
      <c r="L136" s="353"/>
      <c r="M136" s="352"/>
      <c r="N136" s="353"/>
      <c r="O136" s="353"/>
      <c r="P136" s="353"/>
      <c r="Q136" s="353"/>
      <c r="R136" s="352">
        <f>+N136+O136+P136+Q136</f>
        <v>0</v>
      </c>
      <c r="S136" s="353"/>
      <c r="T136" s="353"/>
      <c r="U136" s="352">
        <f>S136</f>
        <v>0</v>
      </c>
      <c r="V136" s="353">
        <v>0</v>
      </c>
      <c r="W136" s="353"/>
      <c r="X136" s="353">
        <f>SUM(V136:W136)</f>
        <v>0</v>
      </c>
      <c r="Y136" s="353"/>
      <c r="Z136" s="353"/>
      <c r="AA136" s="353"/>
      <c r="AB136" s="349">
        <f t="shared" si="32"/>
        <v>0</v>
      </c>
      <c r="AC136" s="1"/>
    </row>
    <row r="137" spans="1:29" ht="17.25" thickBot="1" x14ac:dyDescent="0.35">
      <c r="A137" s="355"/>
      <c r="B137" s="451"/>
      <c r="C137" s="353"/>
      <c r="D137" s="353"/>
      <c r="E137" s="567"/>
      <c r="F137" s="353"/>
      <c r="G137" s="352"/>
      <c r="H137" s="353"/>
      <c r="I137" s="353"/>
      <c r="J137" s="353"/>
      <c r="K137" s="352"/>
      <c r="L137" s="352"/>
      <c r="M137" s="352"/>
      <c r="N137" s="353"/>
      <c r="O137" s="353"/>
      <c r="P137" s="353"/>
      <c r="Q137" s="353"/>
      <c r="R137" s="352"/>
      <c r="S137" s="353"/>
      <c r="T137" s="353"/>
      <c r="U137" s="353"/>
      <c r="V137" s="353"/>
      <c r="W137" s="353"/>
      <c r="X137" s="353"/>
      <c r="Y137" s="353"/>
      <c r="Z137" s="353"/>
      <c r="AA137" s="353"/>
      <c r="AB137" s="349">
        <f t="shared" si="32"/>
        <v>0</v>
      </c>
      <c r="AC137" s="1"/>
    </row>
    <row r="138" spans="1:29" ht="27" thickBot="1" x14ac:dyDescent="0.35">
      <c r="A138" s="350">
        <v>71</v>
      </c>
      <c r="B138" s="452" t="s">
        <v>183</v>
      </c>
      <c r="C138" s="353">
        <f>+C139</f>
        <v>0</v>
      </c>
      <c r="D138" s="352">
        <f>+D139</f>
        <v>0</v>
      </c>
      <c r="E138" s="353">
        <f>+E139</f>
        <v>0</v>
      </c>
      <c r="F138" s="353">
        <f>+F139</f>
        <v>0</v>
      </c>
      <c r="G138" s="352">
        <f>+G139</f>
        <v>0</v>
      </c>
      <c r="H138" s="353"/>
      <c r="I138" s="353"/>
      <c r="J138" s="352">
        <f>+J139</f>
        <v>206119.58</v>
      </c>
      <c r="K138" s="352">
        <f>+H138+I138+J138</f>
        <v>206119.58</v>
      </c>
      <c r="L138" s="352">
        <f>L139</f>
        <v>0</v>
      </c>
      <c r="M138" s="352">
        <f>M139</f>
        <v>0</v>
      </c>
      <c r="N138" s="353"/>
      <c r="O138" s="352">
        <f>+O139</f>
        <v>0</v>
      </c>
      <c r="P138" s="353"/>
      <c r="Q138" s="353"/>
      <c r="R138" s="352">
        <f>+N138+O138+P138+Q138</f>
        <v>0</v>
      </c>
      <c r="S138" s="353"/>
      <c r="T138" s="353"/>
      <c r="U138" s="353"/>
      <c r="V138" s="353"/>
      <c r="W138" s="353"/>
      <c r="X138" s="353"/>
      <c r="Y138" s="353"/>
      <c r="Z138" s="353"/>
      <c r="AA138" s="353"/>
      <c r="AB138" s="349">
        <f t="shared" si="32"/>
        <v>206119.58</v>
      </c>
      <c r="AC138" s="1"/>
    </row>
    <row r="139" spans="1:29" ht="27" thickBot="1" x14ac:dyDescent="0.35">
      <c r="A139" s="350">
        <v>713</v>
      </c>
      <c r="B139" s="452" t="s">
        <v>158</v>
      </c>
      <c r="C139" s="352">
        <f>SUM(C140:C142)</f>
        <v>0</v>
      </c>
      <c r="D139" s="352">
        <f>SUM(D140:D142)</f>
        <v>0</v>
      </c>
      <c r="E139" s="352">
        <f>SUM(E140:E142)</f>
        <v>0</v>
      </c>
      <c r="F139" s="352">
        <f>SUM(F140:F142)</f>
        <v>0</v>
      </c>
      <c r="G139" s="352">
        <f>SUM(C139:F139)</f>
        <v>0</v>
      </c>
      <c r="H139" s="353"/>
      <c r="I139" s="353"/>
      <c r="J139" s="352">
        <f>SUM(J140:J142)</f>
        <v>206119.58</v>
      </c>
      <c r="K139" s="352">
        <f>+H139+I139+J139</f>
        <v>206119.58</v>
      </c>
      <c r="L139" s="352">
        <f>L141</f>
        <v>0</v>
      </c>
      <c r="M139" s="352">
        <f>M141</f>
        <v>0</v>
      </c>
      <c r="N139" s="353"/>
      <c r="O139" s="352">
        <f>SUM(O140:O142)</f>
        <v>0</v>
      </c>
      <c r="P139" s="353"/>
      <c r="Q139" s="353"/>
      <c r="R139" s="352">
        <f>+N139+O139+P139+Q139</f>
        <v>0</v>
      </c>
      <c r="S139" s="353"/>
      <c r="T139" s="353"/>
      <c r="U139" s="353"/>
      <c r="V139" s="353"/>
      <c r="W139" s="353"/>
      <c r="X139" s="353"/>
      <c r="Y139" s="353"/>
      <c r="Z139" s="353"/>
      <c r="AA139" s="353"/>
      <c r="AB139" s="349">
        <f t="shared" si="32"/>
        <v>206119.58</v>
      </c>
      <c r="AC139" s="1"/>
    </row>
    <row r="140" spans="1:29" ht="17.25" thickBot="1" x14ac:dyDescent="0.35">
      <c r="A140" s="355">
        <v>71303</v>
      </c>
      <c r="B140" s="451" t="s">
        <v>233</v>
      </c>
      <c r="C140" s="353"/>
      <c r="D140" s="353"/>
      <c r="E140" s="353"/>
      <c r="F140" s="353"/>
      <c r="G140" s="352">
        <f>SUM(C140:F140)</f>
        <v>0</v>
      </c>
      <c r="H140" s="353"/>
      <c r="I140" s="353"/>
      <c r="J140" s="353"/>
      <c r="K140" s="352">
        <f>+H140+I140+J140</f>
        <v>0</v>
      </c>
      <c r="L140" s="352"/>
      <c r="M140" s="352"/>
      <c r="N140" s="353"/>
      <c r="O140" s="353"/>
      <c r="P140" s="353"/>
      <c r="Q140" s="353"/>
      <c r="R140" s="352">
        <f>+N140+O140+P140+Q140</f>
        <v>0</v>
      </c>
      <c r="S140" s="353"/>
      <c r="T140" s="353"/>
      <c r="U140" s="353"/>
      <c r="V140" s="353"/>
      <c r="W140" s="353"/>
      <c r="X140" s="353"/>
      <c r="Y140" s="353"/>
      <c r="Z140" s="353"/>
      <c r="AA140" s="353"/>
      <c r="AB140" s="349">
        <f t="shared" si="32"/>
        <v>0</v>
      </c>
      <c r="AC140" s="1"/>
    </row>
    <row r="141" spans="1:29" ht="17.25" thickBot="1" x14ac:dyDescent="0.35">
      <c r="A141" s="355">
        <v>71304</v>
      </c>
      <c r="B141" s="451" t="s">
        <v>63</v>
      </c>
      <c r="C141" s="353"/>
      <c r="D141" s="353">
        <v>0</v>
      </c>
      <c r="E141" s="353"/>
      <c r="F141" s="353"/>
      <c r="G141" s="352">
        <f>SUM(C141:F141)</f>
        <v>0</v>
      </c>
      <c r="H141" s="353"/>
      <c r="I141" s="353"/>
      <c r="J141" s="353">
        <v>206119.58</v>
      </c>
      <c r="K141" s="352">
        <f>+H141+I141+J141</f>
        <v>206119.58</v>
      </c>
      <c r="L141" s="353"/>
      <c r="M141" s="353"/>
      <c r="N141" s="353"/>
      <c r="O141" s="353">
        <v>0</v>
      </c>
      <c r="P141" s="353"/>
      <c r="Q141" s="353"/>
      <c r="R141" s="352">
        <f>+N141+O141+P141+Q141</f>
        <v>0</v>
      </c>
      <c r="S141" s="353"/>
      <c r="T141" s="353"/>
      <c r="U141" s="353"/>
      <c r="V141" s="353"/>
      <c r="W141" s="353"/>
      <c r="X141" s="353"/>
      <c r="Y141" s="353"/>
      <c r="Z141" s="353"/>
      <c r="AA141" s="353"/>
      <c r="AB141" s="349">
        <f t="shared" si="32"/>
        <v>206119.58</v>
      </c>
      <c r="AC141" s="1"/>
    </row>
    <row r="142" spans="1:29" ht="17.25" thickBot="1" x14ac:dyDescent="0.35">
      <c r="A142" s="355">
        <v>71307</v>
      </c>
      <c r="B142" s="451" t="s">
        <v>61</v>
      </c>
      <c r="C142" s="353"/>
      <c r="D142" s="353"/>
      <c r="E142" s="353"/>
      <c r="F142" s="353"/>
      <c r="G142" s="352">
        <f>SUM(C142:F142)</f>
        <v>0</v>
      </c>
      <c r="H142" s="353"/>
      <c r="I142" s="353"/>
      <c r="J142" s="353"/>
      <c r="K142" s="352">
        <f>+H142+I142+J142</f>
        <v>0</v>
      </c>
      <c r="L142" s="352"/>
      <c r="M142" s="352"/>
      <c r="N142" s="353"/>
      <c r="O142" s="353"/>
      <c r="P142" s="353"/>
      <c r="Q142" s="353"/>
      <c r="R142" s="352">
        <f>+N142+O142+P142+Q142</f>
        <v>0</v>
      </c>
      <c r="S142" s="353"/>
      <c r="T142" s="353"/>
      <c r="U142" s="353"/>
      <c r="V142" s="353"/>
      <c r="W142" s="353"/>
      <c r="X142" s="353"/>
      <c r="Y142" s="353"/>
      <c r="Z142" s="353"/>
      <c r="AA142" s="353"/>
      <c r="AB142" s="349">
        <f t="shared" si="32"/>
        <v>0</v>
      </c>
      <c r="AC142" s="1"/>
    </row>
    <row r="143" spans="1:29" ht="17.25" thickBot="1" x14ac:dyDescent="0.35">
      <c r="A143" s="355"/>
      <c r="B143" s="451"/>
      <c r="C143" s="353"/>
      <c r="D143" s="353"/>
      <c r="E143" s="353"/>
      <c r="F143" s="353"/>
      <c r="G143" s="352"/>
      <c r="H143" s="353"/>
      <c r="I143" s="353"/>
      <c r="J143" s="353"/>
      <c r="K143" s="352"/>
      <c r="L143" s="352"/>
      <c r="M143" s="352"/>
      <c r="N143" s="353"/>
      <c r="O143" s="353"/>
      <c r="P143" s="353"/>
      <c r="Q143" s="353"/>
      <c r="R143" s="352"/>
      <c r="S143" s="353"/>
      <c r="T143" s="353"/>
      <c r="U143" s="353"/>
      <c r="V143" s="353"/>
      <c r="W143" s="353"/>
      <c r="X143" s="353"/>
      <c r="Y143" s="353"/>
      <c r="Z143" s="353"/>
      <c r="AA143" s="353"/>
      <c r="AB143" s="349">
        <f t="shared" si="32"/>
        <v>0</v>
      </c>
      <c r="AC143" s="1"/>
    </row>
    <row r="144" spans="1:29" ht="17.25" thickBot="1" x14ac:dyDescent="0.35">
      <c r="A144" s="350">
        <v>72</v>
      </c>
      <c r="B144" s="452" t="s">
        <v>182</v>
      </c>
      <c r="C144" s="353"/>
      <c r="D144" s="353"/>
      <c r="E144" s="353"/>
      <c r="F144" s="353"/>
      <c r="G144" s="352">
        <f>+C144+D144+E144</f>
        <v>0</v>
      </c>
      <c r="H144" s="353"/>
      <c r="I144" s="353">
        <v>80600.12</v>
      </c>
      <c r="J144" s="353"/>
      <c r="K144" s="352">
        <f>+H144+I144+J144</f>
        <v>80600.12</v>
      </c>
      <c r="L144" s="352">
        <v>18745.72</v>
      </c>
      <c r="M144" s="352">
        <v>63.01</v>
      </c>
      <c r="N144" s="353"/>
      <c r="O144" s="353"/>
      <c r="P144" s="353"/>
      <c r="Q144" s="353"/>
      <c r="R144" s="352">
        <f>+N144+O144+P144+Q144</f>
        <v>0</v>
      </c>
      <c r="S144" s="353"/>
      <c r="T144" s="353"/>
      <c r="U144" s="353"/>
      <c r="V144" s="353"/>
      <c r="W144" s="353"/>
      <c r="X144" s="353"/>
      <c r="Y144" s="353"/>
      <c r="Z144" s="353"/>
      <c r="AA144" s="353"/>
      <c r="AB144" s="349">
        <f t="shared" si="32"/>
        <v>99408.849999999991</v>
      </c>
      <c r="AC144" s="1"/>
    </row>
    <row r="145" spans="1:29" ht="27" thickBot="1" x14ac:dyDescent="0.35">
      <c r="A145" s="350">
        <v>721</v>
      </c>
      <c r="B145" s="452" t="s">
        <v>502</v>
      </c>
      <c r="C145" s="353"/>
      <c r="D145" s="353"/>
      <c r="E145" s="353"/>
      <c r="F145" s="353"/>
      <c r="G145" s="352">
        <f>+C145+D145+E145</f>
        <v>0</v>
      </c>
      <c r="H145" s="353"/>
      <c r="I145" s="353">
        <v>80600.12</v>
      </c>
      <c r="J145" s="353"/>
      <c r="K145" s="352">
        <f>+H145+I145+J145</f>
        <v>80600.12</v>
      </c>
      <c r="L145" s="352">
        <v>18745.72</v>
      </c>
      <c r="M145" s="352">
        <v>63.01</v>
      </c>
      <c r="N145" s="353"/>
      <c r="O145" s="353"/>
      <c r="P145" s="353"/>
      <c r="Q145" s="353"/>
      <c r="R145" s="352">
        <f>+N145+O145+P145+Q145</f>
        <v>0</v>
      </c>
      <c r="S145" s="353"/>
      <c r="T145" s="353"/>
      <c r="U145" s="353"/>
      <c r="V145" s="353"/>
      <c r="W145" s="353"/>
      <c r="X145" s="353"/>
      <c r="Y145" s="353"/>
      <c r="Z145" s="353"/>
      <c r="AA145" s="353"/>
      <c r="AB145" s="349">
        <f t="shared" si="32"/>
        <v>99408.849999999991</v>
      </c>
      <c r="AC145" s="1"/>
    </row>
    <row r="146" spans="1:29" ht="27" thickBot="1" x14ac:dyDescent="0.35">
      <c r="A146" s="355">
        <v>72101</v>
      </c>
      <c r="B146" s="451" t="s">
        <v>502</v>
      </c>
      <c r="C146" s="353"/>
      <c r="D146" s="353"/>
      <c r="E146" s="353"/>
      <c r="F146" s="353"/>
      <c r="G146" s="352">
        <f>+C146+D146+E146</f>
        <v>0</v>
      </c>
      <c r="H146" s="353"/>
      <c r="I146" s="353">
        <v>80600.12</v>
      </c>
      <c r="J146" s="353"/>
      <c r="K146" s="352">
        <f>+H146+I146+J146</f>
        <v>80600.12</v>
      </c>
      <c r="L146" s="352">
        <v>18745.72</v>
      </c>
      <c r="M146" s="352">
        <v>63.01</v>
      </c>
      <c r="N146" s="353"/>
      <c r="O146" s="353"/>
      <c r="P146" s="353"/>
      <c r="Q146" s="353"/>
      <c r="R146" s="352">
        <f>+N146+O146+P146+Q146</f>
        <v>0</v>
      </c>
      <c r="S146" s="353"/>
      <c r="T146" s="353"/>
      <c r="U146" s="353"/>
      <c r="V146" s="353"/>
      <c r="W146" s="353"/>
      <c r="X146" s="353"/>
      <c r="Y146" s="353"/>
      <c r="Z146" s="353"/>
      <c r="AA146" s="353"/>
      <c r="AB146" s="349">
        <f t="shared" si="32"/>
        <v>99408.849999999991</v>
      </c>
      <c r="AC146" s="1"/>
    </row>
    <row r="147" spans="1:29" ht="17.25" thickBot="1" x14ac:dyDescent="0.35">
      <c r="A147" s="355"/>
      <c r="B147" s="451"/>
      <c r="C147" s="353"/>
      <c r="D147" s="353"/>
      <c r="E147" s="353"/>
      <c r="F147" s="353"/>
      <c r="G147" s="352"/>
      <c r="H147" s="353"/>
      <c r="I147" s="353"/>
      <c r="J147" s="353"/>
      <c r="K147" s="352"/>
      <c r="L147" s="352"/>
      <c r="M147" s="352"/>
      <c r="N147" s="353"/>
      <c r="O147" s="353"/>
      <c r="P147" s="353"/>
      <c r="Q147" s="353"/>
      <c r="R147" s="352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49">
        <f t="shared" si="32"/>
        <v>0</v>
      </c>
      <c r="AC147" s="1"/>
    </row>
    <row r="148" spans="1:29" ht="17.25" thickBot="1" x14ac:dyDescent="0.35">
      <c r="A148" s="350">
        <v>99</v>
      </c>
      <c r="B148" s="452" t="s">
        <v>407</v>
      </c>
      <c r="C148" s="353"/>
      <c r="D148" s="353"/>
      <c r="E148" s="353"/>
      <c r="F148" s="353"/>
      <c r="G148" s="352">
        <f>+C148+D148+E148</f>
        <v>0</v>
      </c>
      <c r="H148" s="353"/>
      <c r="I148" s="353"/>
      <c r="J148" s="353"/>
      <c r="K148" s="352">
        <f>+H148+I148+J148</f>
        <v>0</v>
      </c>
      <c r="L148" s="352"/>
      <c r="M148" s="352"/>
      <c r="N148" s="353"/>
      <c r="O148" s="353"/>
      <c r="P148" s="353"/>
      <c r="Q148" s="353"/>
      <c r="R148" s="352">
        <f>+N148+O148+P148+Q148</f>
        <v>0</v>
      </c>
      <c r="S148" s="353"/>
      <c r="T148" s="353"/>
      <c r="U148" s="353"/>
      <c r="V148" s="353"/>
      <c r="W148" s="353"/>
      <c r="X148" s="353"/>
      <c r="Y148" s="353"/>
      <c r="Z148" s="353"/>
      <c r="AA148" s="353"/>
      <c r="AB148" s="349">
        <f t="shared" si="32"/>
        <v>0</v>
      </c>
      <c r="AC148" s="1"/>
    </row>
    <row r="149" spans="1:29" ht="27" thickBot="1" x14ac:dyDescent="0.35">
      <c r="A149" s="350">
        <v>991</v>
      </c>
      <c r="B149" s="452" t="s">
        <v>408</v>
      </c>
      <c r="C149" s="353"/>
      <c r="D149" s="353"/>
      <c r="E149" s="353"/>
      <c r="F149" s="353"/>
      <c r="G149" s="352">
        <f>+C149+D149+E149</f>
        <v>0</v>
      </c>
      <c r="H149" s="353"/>
      <c r="I149" s="353"/>
      <c r="J149" s="353"/>
      <c r="K149" s="352">
        <f>+H149+I149+J149</f>
        <v>0</v>
      </c>
      <c r="L149" s="352"/>
      <c r="M149" s="352"/>
      <c r="N149" s="353"/>
      <c r="O149" s="353"/>
      <c r="P149" s="353"/>
      <c r="Q149" s="353"/>
      <c r="R149" s="352">
        <f>+N149+O149+P149+Q149</f>
        <v>0</v>
      </c>
      <c r="S149" s="353"/>
      <c r="T149" s="353"/>
      <c r="U149" s="353"/>
      <c r="V149" s="353"/>
      <c r="W149" s="353"/>
      <c r="X149" s="353"/>
      <c r="Y149" s="353"/>
      <c r="Z149" s="353"/>
      <c r="AA149" s="353"/>
      <c r="AB149" s="349">
        <f t="shared" si="32"/>
        <v>0</v>
      </c>
      <c r="AC149" s="1"/>
    </row>
    <row r="150" spans="1:29" ht="27" thickBot="1" x14ac:dyDescent="0.35">
      <c r="A150" s="358">
        <v>99101</v>
      </c>
      <c r="B150" s="453" t="s">
        <v>408</v>
      </c>
      <c r="C150" s="359"/>
      <c r="D150" s="359"/>
      <c r="E150" s="359"/>
      <c r="F150" s="359"/>
      <c r="G150" s="360">
        <f>+C150+D150+E150</f>
        <v>0</v>
      </c>
      <c r="H150" s="359"/>
      <c r="I150" s="359"/>
      <c r="J150" s="359"/>
      <c r="K150" s="360">
        <f>+H150+I150+J150</f>
        <v>0</v>
      </c>
      <c r="L150" s="360"/>
      <c r="M150" s="360"/>
      <c r="N150" s="359"/>
      <c r="O150" s="359"/>
      <c r="P150" s="359"/>
      <c r="Q150" s="359"/>
      <c r="R150" s="352">
        <f>+N150+O150+P150+Q150</f>
        <v>0</v>
      </c>
      <c r="S150" s="359"/>
      <c r="T150" s="359"/>
      <c r="U150" s="359"/>
      <c r="V150" s="359"/>
      <c r="W150" s="359"/>
      <c r="X150" s="359"/>
      <c r="Y150" s="359"/>
      <c r="Z150" s="359"/>
      <c r="AA150" s="359"/>
      <c r="AB150" s="349">
        <f t="shared" si="32"/>
        <v>0</v>
      </c>
      <c r="AC150" s="1"/>
    </row>
    <row r="151" spans="1:29" ht="17.25" thickBot="1" x14ac:dyDescent="0.35">
      <c r="A151" s="361"/>
      <c r="B151" s="454" t="s">
        <v>1</v>
      </c>
      <c r="C151" s="362">
        <f t="shared" ref="C151:L151" si="33">+C9+C32+C91+C106+C114+C138+C144+C148</f>
        <v>0</v>
      </c>
      <c r="D151" s="362">
        <f t="shared" si="33"/>
        <v>408300</v>
      </c>
      <c r="E151" s="362">
        <f t="shared" si="33"/>
        <v>0</v>
      </c>
      <c r="F151" s="362">
        <f t="shared" si="33"/>
        <v>0</v>
      </c>
      <c r="G151" s="362">
        <f t="shared" si="33"/>
        <v>408300</v>
      </c>
      <c r="H151" s="362">
        <f>+H9+H32+H91+H106+H114+H138+H144+H148</f>
        <v>103000</v>
      </c>
      <c r="I151" s="362">
        <f t="shared" si="33"/>
        <v>132288.5</v>
      </c>
      <c r="J151" s="362">
        <f t="shared" si="33"/>
        <v>210033.33</v>
      </c>
      <c r="K151" s="363">
        <f>+H151+I151+J151</f>
        <v>445321.82999999996</v>
      </c>
      <c r="L151" s="362">
        <f t="shared" si="33"/>
        <v>242158.72</v>
      </c>
      <c r="M151" s="364">
        <f>SUM(M91+M114+M138+M144)</f>
        <v>97127.4</v>
      </c>
      <c r="N151" s="362">
        <f>+N9+N32+N91+N106+N114+N138+N144+N148</f>
        <v>452076.11</v>
      </c>
      <c r="O151" s="362">
        <f>+O9+O32+O91+O106+O114+O138+O144+O148</f>
        <v>324674.45</v>
      </c>
      <c r="P151" s="362">
        <f>+P9+P32+P91+P106+P114+P138+P144+P148</f>
        <v>80164.3</v>
      </c>
      <c r="Q151" s="362">
        <f>+Q9+Q32+Q91+Q106+Q114+Q138+Q144+Q148</f>
        <v>1369079.9800000002</v>
      </c>
      <c r="R151" s="365">
        <f>+N151+O151+P151+Q151</f>
        <v>2225994.8400000003</v>
      </c>
      <c r="S151" s="445">
        <f>S114</f>
        <v>0</v>
      </c>
      <c r="T151" s="445">
        <f>T114</f>
        <v>0</v>
      </c>
      <c r="U151" s="445">
        <f>U114</f>
        <v>0</v>
      </c>
      <c r="V151" s="365">
        <f>+V114</f>
        <v>0</v>
      </c>
      <c r="W151" s="365">
        <f>+W114</f>
        <v>0</v>
      </c>
      <c r="X151" s="365">
        <f>+V151+W151</f>
        <v>0</v>
      </c>
      <c r="Y151" s="366">
        <f>SUM(Y9:Y150)</f>
        <v>0</v>
      </c>
      <c r="Z151" s="366">
        <f>SUM(Z9:Z150)</f>
        <v>0</v>
      </c>
      <c r="AA151" s="366">
        <f>SUM(AA9:AA150)</f>
        <v>0</v>
      </c>
      <c r="AB151" s="367">
        <f>+AB9+AB32+AB91+AB106+AB114+AB138+AB144+AB148</f>
        <v>3418902.7900000005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94"/>
      <c r="L152" s="1"/>
      <c r="M152" s="1"/>
      <c r="N152" s="1"/>
      <c r="O152" s="1"/>
      <c r="P152" s="1"/>
      <c r="Q152" s="1"/>
      <c r="R152" s="394"/>
      <c r="S152" s="1"/>
      <c r="T152" s="1"/>
      <c r="U152" s="1"/>
      <c r="V152" s="1"/>
      <c r="W152" s="1"/>
      <c r="X152" s="394"/>
      <c r="Y152" s="394"/>
      <c r="Z152" s="394"/>
      <c r="AA152" s="394"/>
      <c r="AB152" s="394"/>
      <c r="AC152" s="392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394" t="s">
        <v>8</v>
      </c>
      <c r="L153" s="1"/>
      <c r="M153" s="1"/>
      <c r="N153" s="1"/>
      <c r="O153" s="1"/>
      <c r="P153" s="1"/>
      <c r="Q153" s="1"/>
      <c r="R153" s="394" t="s">
        <v>8</v>
      </c>
      <c r="S153" s="1"/>
      <c r="T153" s="1"/>
      <c r="U153" s="1"/>
      <c r="V153" s="1"/>
      <c r="W153" s="1"/>
      <c r="X153" s="394"/>
      <c r="Y153" s="394"/>
      <c r="Z153" s="394"/>
      <c r="AA153" s="394"/>
      <c r="AB153" s="409" t="s">
        <v>8</v>
      </c>
      <c r="AC153" s="392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396" t="s">
        <v>8</v>
      </c>
      <c r="L154" s="1"/>
      <c r="M154" s="1"/>
      <c r="N154" s="1"/>
      <c r="O154" s="1"/>
      <c r="P154" s="1"/>
      <c r="Q154" s="1"/>
      <c r="R154" s="396" t="s">
        <v>8</v>
      </c>
      <c r="S154" s="1"/>
      <c r="T154" s="1"/>
      <c r="U154" s="1"/>
      <c r="V154" s="1"/>
      <c r="W154" s="1"/>
      <c r="X154" s="394"/>
      <c r="Y154" s="394"/>
      <c r="Z154" s="394"/>
      <c r="AA154" s="394"/>
      <c r="AB154" s="396" t="s">
        <v>8</v>
      </c>
      <c r="AC154" s="392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94"/>
      <c r="L155" s="1"/>
      <c r="M155" s="1"/>
      <c r="N155" s="1"/>
      <c r="O155" s="1"/>
      <c r="P155" s="1"/>
      <c r="Q155" s="1"/>
      <c r="R155" s="394"/>
      <c r="S155" s="1"/>
      <c r="T155" s="1"/>
      <c r="U155" s="1"/>
      <c r="V155" s="1"/>
      <c r="W155" s="1"/>
      <c r="X155" s="394"/>
      <c r="Y155" s="394"/>
      <c r="Z155" s="394"/>
      <c r="AA155" s="394"/>
      <c r="AB155" s="394" t="s">
        <v>8</v>
      </c>
      <c r="AC155" s="392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94"/>
      <c r="L156" s="1"/>
      <c r="M156" s="1"/>
      <c r="N156" s="1"/>
      <c r="O156" s="1"/>
      <c r="P156" s="1"/>
      <c r="Q156" s="1"/>
      <c r="R156" s="394"/>
      <c r="S156" s="1"/>
      <c r="T156" s="1"/>
      <c r="U156" s="1"/>
      <c r="V156" s="1"/>
      <c r="W156" s="1"/>
      <c r="X156" s="394"/>
      <c r="Y156" s="394"/>
      <c r="Z156" s="394"/>
      <c r="AA156" s="394"/>
      <c r="AB156" s="394"/>
      <c r="AC156" s="392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94"/>
      <c r="Y157" s="394"/>
      <c r="Z157" s="394"/>
      <c r="AA157" s="394"/>
      <c r="AB157" s="394"/>
      <c r="AC157" s="392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94"/>
      <c r="Y158" s="394"/>
      <c r="Z158" s="394"/>
      <c r="AA158" s="394"/>
      <c r="AB158" s="394"/>
      <c r="AC158" s="392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94"/>
      <c r="Y159" s="394"/>
      <c r="Z159" s="394"/>
      <c r="AA159" s="394"/>
      <c r="AB159" s="394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94"/>
      <c r="Y160" s="394"/>
      <c r="Z160" s="394"/>
      <c r="AA160" s="394"/>
      <c r="AB160" s="394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3:A8"/>
    <mergeCell ref="B3:B8"/>
    <mergeCell ref="C3:K3"/>
    <mergeCell ref="N3:R3"/>
    <mergeCell ref="S3:U3"/>
    <mergeCell ref="C5:G5"/>
    <mergeCell ref="K5:K8"/>
    <mergeCell ref="N5:R5"/>
    <mergeCell ref="U5:U8"/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</mergeCells>
  <pageMargins left="0.87" right="0.7" top="0.69" bottom="0.42" header="0.3" footer="0.3"/>
  <pageSetup scale="5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B25" zoomScale="120" zoomScaleNormal="120" workbookViewId="0">
      <selection activeCell="H16" sqref="H16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574" t="s">
        <v>175</v>
      </c>
      <c r="C1" s="574"/>
      <c r="D1" s="574"/>
      <c r="E1" s="1"/>
      <c r="F1" s="1"/>
      <c r="G1" s="1"/>
      <c r="H1" s="1"/>
    </row>
    <row r="2" spans="1:8" ht="16.5" x14ac:dyDescent="0.3">
      <c r="A2" s="1"/>
      <c r="B2" s="574" t="s">
        <v>176</v>
      </c>
      <c r="C2" s="574"/>
      <c r="D2" s="574"/>
      <c r="E2" s="1"/>
      <c r="F2" s="1"/>
      <c r="G2" s="1"/>
      <c r="H2" s="1"/>
    </row>
    <row r="3" spans="1:8" ht="16.5" x14ac:dyDescent="0.3">
      <c r="A3" s="1"/>
      <c r="B3" s="572" t="s">
        <v>705</v>
      </c>
      <c r="C3" s="572"/>
      <c r="D3" s="572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644" t="s">
        <v>177</v>
      </c>
      <c r="C5" s="645"/>
      <c r="D5" s="646"/>
      <c r="E5" s="1"/>
      <c r="F5" s="1"/>
      <c r="G5" s="1"/>
      <c r="H5" s="1"/>
    </row>
    <row r="6" spans="1:8" ht="16.5" x14ac:dyDescent="0.3">
      <c r="A6" s="1"/>
      <c r="B6" s="642" t="s">
        <v>178</v>
      </c>
      <c r="C6" s="593"/>
      <c r="D6" s="643"/>
      <c r="E6" s="1"/>
      <c r="F6" s="1"/>
      <c r="G6" s="1"/>
      <c r="H6" s="1"/>
    </row>
    <row r="7" spans="1:8" ht="16.5" x14ac:dyDescent="0.3">
      <c r="A7" s="1"/>
      <c r="B7" s="642" t="s">
        <v>180</v>
      </c>
      <c r="C7" s="593"/>
      <c r="D7" s="643"/>
      <c r="E7" s="1"/>
      <c r="F7" s="1"/>
      <c r="G7" s="1"/>
      <c r="H7" s="1"/>
    </row>
    <row r="8" spans="1:8" ht="17.25" thickBot="1" x14ac:dyDescent="0.35">
      <c r="A8" s="1"/>
      <c r="B8" s="647" t="s">
        <v>166</v>
      </c>
      <c r="C8" s="648"/>
      <c r="D8" s="649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2" t="s">
        <v>173</v>
      </c>
      <c r="D9" s="43" t="s">
        <v>174</v>
      </c>
      <c r="E9" s="1"/>
      <c r="F9" s="1"/>
      <c r="G9" s="1"/>
      <c r="H9" s="1"/>
    </row>
    <row r="10" spans="1:8" ht="24.95" customHeight="1" x14ac:dyDescent="0.3">
      <c r="A10" s="1"/>
      <c r="B10" s="44">
        <v>11</v>
      </c>
      <c r="C10" s="41" t="s">
        <v>9</v>
      </c>
      <c r="D10" s="45">
        <f>+Ingresos!F9</f>
        <v>555328.64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46">
        <f>+Ingresos!F29</f>
        <v>982474.15999999992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46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46">
        <f>+Ingresos!F49</f>
        <v>407824.8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46">
        <f>+Ingresos!F54</f>
        <v>274022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46">
        <f>+Ingresos!F65</f>
        <v>698456.64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46">
        <f>+Ingresos!F69</f>
        <v>299037.32999999996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46">
        <f>+Ingresos!F77</f>
        <v>0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46">
        <f>+Ingresos!F81</f>
        <v>201759.22</v>
      </c>
      <c r="E18" s="1"/>
      <c r="F18" s="1"/>
      <c r="G18" s="1"/>
      <c r="H18" s="1"/>
    </row>
    <row r="19" spans="1:8" ht="24.95" customHeight="1" thickBot="1" x14ac:dyDescent="0.35">
      <c r="A19" s="1"/>
      <c r="B19" s="58"/>
      <c r="C19" s="42" t="s">
        <v>1</v>
      </c>
      <c r="D19" s="59">
        <f>SUM(D10:D18)</f>
        <v>3418902.79</v>
      </c>
      <c r="E19" s="1"/>
      <c r="F19" s="1"/>
      <c r="G19" s="1"/>
      <c r="H19" s="1"/>
    </row>
    <row r="20" spans="1:8" ht="17.25" thickBot="1" x14ac:dyDescent="0.35">
      <c r="A20" s="1"/>
      <c r="B20" s="1"/>
      <c r="C20" s="1"/>
      <c r="D20" s="1"/>
      <c r="E20" s="1"/>
      <c r="F20" s="1"/>
      <c r="G20" s="1"/>
      <c r="H20" s="1"/>
    </row>
    <row r="21" spans="1:8" ht="16.5" x14ac:dyDescent="0.3">
      <c r="A21" s="1"/>
      <c r="B21" s="650" t="s">
        <v>177</v>
      </c>
      <c r="C21" s="651"/>
      <c r="D21" s="652"/>
      <c r="E21" s="1"/>
      <c r="F21" s="1"/>
      <c r="G21" s="1"/>
      <c r="H21" s="1"/>
    </row>
    <row r="22" spans="1:8" ht="16.5" x14ac:dyDescent="0.3">
      <c r="A22" s="1"/>
      <c r="B22" s="653" t="s">
        <v>179</v>
      </c>
      <c r="C22" s="574"/>
      <c r="D22" s="654"/>
      <c r="E22" s="1"/>
      <c r="F22" s="1"/>
      <c r="G22" s="1"/>
      <c r="H22" s="1"/>
    </row>
    <row r="23" spans="1:8" ht="16.5" x14ac:dyDescent="0.3">
      <c r="A23" s="1"/>
      <c r="B23" s="653" t="s">
        <v>181</v>
      </c>
      <c r="C23" s="574"/>
      <c r="D23" s="654"/>
      <c r="E23" s="1"/>
      <c r="F23" s="1"/>
      <c r="G23" s="1"/>
      <c r="H23" s="1"/>
    </row>
    <row r="24" spans="1:8" ht="17.25" thickBot="1" x14ac:dyDescent="0.35">
      <c r="A24" s="1"/>
      <c r="B24" s="655" t="s">
        <v>166</v>
      </c>
      <c r="C24" s="656"/>
      <c r="D24" s="657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2" t="s">
        <v>173</v>
      </c>
      <c r="D25" s="43" t="s">
        <v>174</v>
      </c>
      <c r="E25" s="1"/>
      <c r="F25" s="1"/>
      <c r="G25" s="1"/>
      <c r="H25" s="1"/>
    </row>
    <row r="26" spans="1:8" ht="24.95" customHeight="1" x14ac:dyDescent="0.3">
      <c r="A26" s="1"/>
      <c r="B26" s="44">
        <v>51</v>
      </c>
      <c r="C26" s="41" t="s">
        <v>71</v>
      </c>
      <c r="D26" s="45">
        <f>+Egresos!F9</f>
        <v>1837951.8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45">
        <f>+Egresos!F31</f>
        <v>984998.58000000007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45">
        <f>+Egresos!F78</f>
        <v>20671.21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46">
        <f>+Egresos!F90</f>
        <v>4000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46">
        <f>+Egresos!F98</f>
        <v>265752.77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46">
        <f>+Egresos!F116</f>
        <v>305528.43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38"/>
      <c r="E32" s="1"/>
      <c r="F32" s="1"/>
      <c r="G32" s="1"/>
      <c r="H32" s="1"/>
    </row>
    <row r="33" spans="1:8" ht="24.95" customHeight="1" thickBot="1" x14ac:dyDescent="0.35">
      <c r="A33" s="1"/>
      <c r="B33" s="58"/>
      <c r="C33" s="42" t="s">
        <v>1</v>
      </c>
      <c r="D33" s="59">
        <f>SUM(D26:D32)</f>
        <v>3418902.79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8:D8"/>
    <mergeCell ref="B21:D21"/>
    <mergeCell ref="B22:D22"/>
    <mergeCell ref="B23:D23"/>
    <mergeCell ref="B24:D24"/>
    <mergeCell ref="B7:D7"/>
    <mergeCell ref="B1:D1"/>
    <mergeCell ref="B2:D2"/>
    <mergeCell ref="B3:D3"/>
    <mergeCell ref="B5:D5"/>
    <mergeCell ref="B6:D6"/>
  </mergeCells>
  <pageMargins left="1.18" right="0.7" top="0.75" bottom="0.75" header="0.3" footer="0.3"/>
  <pageSetup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E21" sqref="E21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659" t="s">
        <v>175</v>
      </c>
      <c r="B1" s="659"/>
      <c r="C1" s="659"/>
      <c r="D1" s="659"/>
      <c r="E1" s="659"/>
      <c r="F1" s="659"/>
      <c r="G1" s="659"/>
    </row>
    <row r="2" spans="1:7" ht="15.75" x14ac:dyDescent="0.25">
      <c r="A2" s="660" t="s">
        <v>283</v>
      </c>
      <c r="B2" s="660"/>
      <c r="C2" s="660"/>
      <c r="D2" s="660"/>
      <c r="E2" s="660"/>
      <c r="F2" s="660"/>
      <c r="G2" s="660"/>
    </row>
    <row r="3" spans="1:7" ht="15.75" x14ac:dyDescent="0.25">
      <c r="A3" s="660" t="s">
        <v>705</v>
      </c>
      <c r="B3" s="660"/>
      <c r="C3" s="660"/>
      <c r="D3" s="660"/>
      <c r="E3" s="660"/>
      <c r="F3" s="660"/>
      <c r="G3" s="660"/>
    </row>
    <row r="4" spans="1:7" x14ac:dyDescent="0.25">
      <c r="A4" s="661"/>
      <c r="B4" s="661"/>
      <c r="C4" s="661"/>
      <c r="D4" s="661"/>
      <c r="E4" s="661"/>
      <c r="F4" s="87"/>
    </row>
    <row r="5" spans="1:7" ht="15.75" x14ac:dyDescent="0.25">
      <c r="A5" s="659" t="s">
        <v>177</v>
      </c>
      <c r="B5" s="659"/>
      <c r="C5" s="659"/>
      <c r="D5" s="659"/>
      <c r="E5" s="659"/>
      <c r="F5" s="659"/>
      <c r="G5" s="659"/>
    </row>
    <row r="6" spans="1:7" ht="16.5" thickBot="1" x14ac:dyDescent="0.3">
      <c r="A6" s="658" t="s">
        <v>284</v>
      </c>
      <c r="B6" s="658"/>
      <c r="C6" s="658"/>
      <c r="D6" s="658"/>
      <c r="E6" s="658"/>
      <c r="F6" s="658"/>
      <c r="G6" s="658"/>
    </row>
    <row r="7" spans="1:7" x14ac:dyDescent="0.25">
      <c r="A7" s="158" t="s">
        <v>285</v>
      </c>
      <c r="B7" s="159" t="s">
        <v>286</v>
      </c>
      <c r="C7" s="160" t="s">
        <v>287</v>
      </c>
      <c r="D7" s="662" t="s">
        <v>173</v>
      </c>
      <c r="E7" s="664" t="s">
        <v>350</v>
      </c>
      <c r="F7" s="664" t="s">
        <v>350</v>
      </c>
      <c r="G7" s="664" t="s">
        <v>1</v>
      </c>
    </row>
    <row r="8" spans="1:7" ht="20.25" customHeight="1" thickBot="1" x14ac:dyDescent="0.3">
      <c r="A8" s="161" t="s">
        <v>288</v>
      </c>
      <c r="B8" s="162" t="s">
        <v>289</v>
      </c>
      <c r="C8" s="163" t="s">
        <v>290</v>
      </c>
      <c r="D8" s="663"/>
      <c r="E8" s="665"/>
      <c r="F8" s="665"/>
      <c r="G8" s="665"/>
    </row>
    <row r="9" spans="1:7" ht="24.95" customHeight="1" x14ac:dyDescent="0.25">
      <c r="A9" s="89" t="s">
        <v>291</v>
      </c>
      <c r="B9" s="147"/>
      <c r="C9" s="148"/>
      <c r="D9" s="90" t="s">
        <v>292</v>
      </c>
      <c r="E9" s="323"/>
      <c r="F9" s="323"/>
      <c r="G9" s="323">
        <f>+F10</f>
        <v>2634294.84</v>
      </c>
    </row>
    <row r="10" spans="1:7" ht="24.95" customHeight="1" x14ac:dyDescent="0.25">
      <c r="A10" s="149"/>
      <c r="B10" s="150" t="s">
        <v>293</v>
      </c>
      <c r="C10" s="151"/>
      <c r="D10" s="91" t="s">
        <v>294</v>
      </c>
      <c r="E10" s="324"/>
      <c r="F10" s="324">
        <f>SUM(E11:E14)</f>
        <v>2634294.84</v>
      </c>
      <c r="G10" s="324"/>
    </row>
    <row r="11" spans="1:7" ht="24.95" customHeight="1" x14ac:dyDescent="0.25">
      <c r="A11" s="149"/>
      <c r="B11" s="152"/>
      <c r="C11" s="151" t="s">
        <v>194</v>
      </c>
      <c r="D11" s="91" t="s">
        <v>295</v>
      </c>
      <c r="E11" s="324">
        <f>+CONSOLIDADO!C151+CONSOLIDADO!N151</f>
        <v>452076.11</v>
      </c>
      <c r="F11" s="324"/>
      <c r="G11" s="324"/>
    </row>
    <row r="12" spans="1:7" ht="24.95" customHeight="1" x14ac:dyDescent="0.25">
      <c r="A12" s="149"/>
      <c r="B12" s="152"/>
      <c r="C12" s="151" t="s">
        <v>195</v>
      </c>
      <c r="D12" s="91" t="s">
        <v>296</v>
      </c>
      <c r="E12" s="324">
        <f>+CONSOLIDADO!D151+CONSOLIDADO!O151</f>
        <v>732974.45</v>
      </c>
      <c r="F12" s="324"/>
      <c r="G12" s="324"/>
    </row>
    <row r="13" spans="1:7" ht="24.95" customHeight="1" x14ac:dyDescent="0.25">
      <c r="A13" s="149"/>
      <c r="B13" s="152"/>
      <c r="C13" s="151" t="s">
        <v>196</v>
      </c>
      <c r="D13" s="91" t="s">
        <v>417</v>
      </c>
      <c r="E13" s="324">
        <f>+CONSOLIDADO!E151+CONSOLIDADO!P151</f>
        <v>80164.3</v>
      </c>
      <c r="F13" s="324"/>
      <c r="G13" s="324"/>
    </row>
    <row r="14" spans="1:7" ht="24.95" customHeight="1" thickBot="1" x14ac:dyDescent="0.3">
      <c r="A14" s="153"/>
      <c r="B14" s="154"/>
      <c r="C14" s="155" t="s">
        <v>343</v>
      </c>
      <c r="D14" s="92" t="s">
        <v>418</v>
      </c>
      <c r="E14" s="325">
        <v>1369079.98</v>
      </c>
      <c r="F14" s="325"/>
      <c r="G14" s="325"/>
    </row>
    <row r="15" spans="1:7" ht="24.95" customHeight="1" x14ac:dyDescent="0.25">
      <c r="A15" s="93">
        <v>3</v>
      </c>
      <c r="B15" s="150"/>
      <c r="C15" s="151"/>
      <c r="D15" s="94" t="s">
        <v>298</v>
      </c>
      <c r="E15" s="324"/>
      <c r="F15" s="324"/>
      <c r="G15" s="324">
        <f>+F16</f>
        <v>103000</v>
      </c>
    </row>
    <row r="16" spans="1:7" ht="24.95" customHeight="1" x14ac:dyDescent="0.25">
      <c r="A16" s="93"/>
      <c r="B16" s="150" t="s">
        <v>299</v>
      </c>
      <c r="C16" s="151"/>
      <c r="D16" s="91" t="s">
        <v>300</v>
      </c>
      <c r="E16" s="324" t="s">
        <v>8</v>
      </c>
      <c r="F16" s="324">
        <f>+E17</f>
        <v>103000</v>
      </c>
      <c r="G16" s="324"/>
    </row>
    <row r="17" spans="1:7" ht="24.95" customHeight="1" thickBot="1" x14ac:dyDescent="0.3">
      <c r="A17" s="95"/>
      <c r="B17" s="156"/>
      <c r="C17" s="155" t="s">
        <v>301</v>
      </c>
      <c r="D17" s="92" t="s">
        <v>302</v>
      </c>
      <c r="E17" s="325">
        <f>+CONSOLIDADO!H151+CONSOLIDADO!U151</f>
        <v>103000</v>
      </c>
      <c r="F17" s="325"/>
      <c r="G17" s="325"/>
    </row>
    <row r="18" spans="1:7" ht="24.95" customHeight="1" x14ac:dyDescent="0.25">
      <c r="A18" s="93">
        <v>3</v>
      </c>
      <c r="B18" s="150"/>
      <c r="C18" s="151"/>
      <c r="D18" s="94" t="s">
        <v>303</v>
      </c>
      <c r="E18" s="324"/>
      <c r="F18" s="324"/>
      <c r="G18" s="324">
        <f>+F19</f>
        <v>471574.62</v>
      </c>
    </row>
    <row r="19" spans="1:7" ht="24.95" customHeight="1" x14ac:dyDescent="0.25">
      <c r="A19" s="93"/>
      <c r="B19" s="150" t="s">
        <v>299</v>
      </c>
      <c r="C19" s="151"/>
      <c r="D19" s="91" t="s">
        <v>304</v>
      </c>
      <c r="E19" s="324"/>
      <c r="F19" s="324">
        <f>+E20</f>
        <v>471574.62</v>
      </c>
      <c r="G19" s="324"/>
    </row>
    <row r="20" spans="1:7" ht="24.95" customHeight="1" thickBot="1" x14ac:dyDescent="0.3">
      <c r="A20" s="95"/>
      <c r="B20" s="156"/>
      <c r="C20" s="155" t="s">
        <v>305</v>
      </c>
      <c r="D20" s="92" t="s">
        <v>306</v>
      </c>
      <c r="E20" s="325">
        <v>471574.62</v>
      </c>
      <c r="F20" s="325"/>
      <c r="G20" s="325"/>
    </row>
    <row r="21" spans="1:7" ht="24.95" customHeight="1" x14ac:dyDescent="0.25">
      <c r="A21" s="93">
        <v>5</v>
      </c>
      <c r="B21" s="150"/>
      <c r="C21" s="151"/>
      <c r="D21" s="91" t="s">
        <v>307</v>
      </c>
      <c r="E21" s="324"/>
      <c r="F21" s="324"/>
      <c r="G21" s="324">
        <f>+F22</f>
        <v>210033.33</v>
      </c>
    </row>
    <row r="22" spans="1:7" ht="24.95" customHeight="1" x14ac:dyDescent="0.25">
      <c r="A22" s="157"/>
      <c r="B22" s="150" t="s">
        <v>308</v>
      </c>
      <c r="C22" s="151"/>
      <c r="D22" s="91" t="s">
        <v>309</v>
      </c>
      <c r="E22" s="324"/>
      <c r="F22" s="324">
        <f>+E23</f>
        <v>210033.33</v>
      </c>
      <c r="G22" s="324"/>
    </row>
    <row r="23" spans="1:7" ht="24.95" customHeight="1" thickBot="1" x14ac:dyDescent="0.3">
      <c r="A23" s="157"/>
      <c r="B23" s="150"/>
      <c r="C23" s="151" t="s">
        <v>310</v>
      </c>
      <c r="D23" s="91" t="s">
        <v>311</v>
      </c>
      <c r="E23" s="325">
        <f>+CONSOLIDADO!J151</f>
        <v>210033.33</v>
      </c>
      <c r="F23" s="324"/>
      <c r="G23" s="324"/>
    </row>
    <row r="24" spans="1:7" ht="30.75" customHeight="1" thickBot="1" x14ac:dyDescent="0.3">
      <c r="A24" s="666" t="s">
        <v>1</v>
      </c>
      <c r="B24" s="667"/>
      <c r="C24" s="667"/>
      <c r="D24" s="668"/>
      <c r="E24" s="326">
        <f>SUM(E9:E23)</f>
        <v>3418902.79</v>
      </c>
      <c r="F24" s="326">
        <f>SUM(F9:F23)</f>
        <v>3418902.79</v>
      </c>
      <c r="G24" s="326">
        <f>SUM(G9:G23)</f>
        <v>3418902.79</v>
      </c>
    </row>
    <row r="25" spans="1:7" x14ac:dyDescent="0.25">
      <c r="B25" s="96"/>
      <c r="C25" s="96"/>
    </row>
    <row r="26" spans="1:7" x14ac:dyDescent="0.25">
      <c r="B26" s="96"/>
      <c r="C26" s="96"/>
      <c r="G26" t="s">
        <v>8</v>
      </c>
    </row>
    <row r="27" spans="1:7" x14ac:dyDescent="0.25">
      <c r="G27" s="57" t="s">
        <v>8</v>
      </c>
    </row>
  </sheetData>
  <mergeCells count="11">
    <mergeCell ref="D7:D8"/>
    <mergeCell ref="E7:E8"/>
    <mergeCell ref="F7:F8"/>
    <mergeCell ref="G7:G8"/>
    <mergeCell ref="A24:D24"/>
    <mergeCell ref="A6:G6"/>
    <mergeCell ref="A1:G1"/>
    <mergeCell ref="A2:G2"/>
    <mergeCell ref="A3:G3"/>
    <mergeCell ref="A4:E4"/>
    <mergeCell ref="A5:G5"/>
  </mergeCells>
  <pageMargins left="0.88" right="0.70866141732283472" top="0.74803149606299213" bottom="0.74803149606299213" header="0.31496062992125984" footer="0.31496062992125984"/>
  <pageSetup scale="81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opLeftCell="B16" workbookViewId="0">
      <selection activeCell="M17" sqref="M17"/>
    </sheetView>
  </sheetViews>
  <sheetFormatPr baseColWidth="10" defaultRowHeight="15" x14ac:dyDescent="0.25"/>
  <cols>
    <col min="2" max="2" width="7.5703125" bestFit="1" customWidth="1"/>
    <col min="3" max="3" width="45.42578125" bestFit="1" customWidth="1"/>
    <col min="4" max="5" width="14" customWidth="1"/>
    <col min="6" max="6" width="5.7109375" bestFit="1" customWidth="1"/>
    <col min="7" max="7" width="14.140625" customWidth="1"/>
    <col min="8" max="8" width="12.42578125" customWidth="1"/>
    <col min="9" max="9" width="13.85546875" customWidth="1"/>
  </cols>
  <sheetData>
    <row r="1" spans="2:10" ht="15.75" x14ac:dyDescent="0.25">
      <c r="B1" s="610" t="s">
        <v>175</v>
      </c>
      <c r="C1" s="610"/>
      <c r="D1" s="610"/>
      <c r="E1" s="610"/>
      <c r="F1" s="610"/>
      <c r="G1" s="610"/>
      <c r="H1" s="610"/>
      <c r="I1" s="610"/>
      <c r="J1" s="52"/>
    </row>
    <row r="2" spans="2:10" ht="15.75" x14ac:dyDescent="0.25">
      <c r="B2" s="675" t="s">
        <v>477</v>
      </c>
      <c r="C2" s="675"/>
      <c r="D2" s="675"/>
      <c r="E2" s="675"/>
      <c r="F2" s="675"/>
      <c r="G2" s="675"/>
      <c r="H2" s="675"/>
      <c r="I2" s="675"/>
      <c r="J2" s="52"/>
    </row>
    <row r="3" spans="2:10" ht="15.75" x14ac:dyDescent="0.25">
      <c r="B3" s="676" t="s">
        <v>706</v>
      </c>
      <c r="C3" s="675"/>
      <c r="D3" s="675"/>
      <c r="E3" s="675"/>
      <c r="F3" s="675"/>
      <c r="G3" s="675"/>
      <c r="H3" s="675"/>
      <c r="I3" s="675"/>
      <c r="J3" s="52"/>
    </row>
    <row r="4" spans="2:10" ht="15.75" x14ac:dyDescent="0.25">
      <c r="B4" s="53"/>
      <c r="C4" s="53"/>
      <c r="D4" s="53"/>
      <c r="E4" s="53"/>
      <c r="F4" s="53"/>
      <c r="G4" s="53"/>
      <c r="H4" s="53"/>
      <c r="I4" s="53"/>
      <c r="J4" s="52"/>
    </row>
    <row r="5" spans="2:10" ht="15.75" x14ac:dyDescent="0.25">
      <c r="B5" s="610" t="s">
        <v>177</v>
      </c>
      <c r="C5" s="610"/>
      <c r="D5" s="610"/>
      <c r="E5" s="610"/>
      <c r="F5" s="610"/>
      <c r="G5" s="610"/>
      <c r="H5" s="610"/>
      <c r="I5" s="610"/>
      <c r="J5" s="52"/>
    </row>
    <row r="6" spans="2:10" ht="16.5" thickBot="1" x14ac:dyDescent="0.3">
      <c r="B6" s="677" t="s">
        <v>478</v>
      </c>
      <c r="C6" s="677"/>
      <c r="D6" s="677"/>
      <c r="E6" s="677"/>
      <c r="F6" s="677"/>
      <c r="G6" s="677"/>
      <c r="H6" s="677"/>
      <c r="I6" s="675"/>
      <c r="J6" s="52"/>
    </row>
    <row r="7" spans="2:10" ht="15.75" x14ac:dyDescent="0.25">
      <c r="B7" s="311" t="s">
        <v>479</v>
      </c>
      <c r="C7" s="671" t="s">
        <v>325</v>
      </c>
      <c r="D7" s="678" t="s">
        <v>315</v>
      </c>
      <c r="E7" s="678" t="s">
        <v>201</v>
      </c>
      <c r="F7" s="678" t="s">
        <v>316</v>
      </c>
      <c r="G7" s="678" t="s">
        <v>317</v>
      </c>
      <c r="H7" s="669" t="s">
        <v>318</v>
      </c>
      <c r="I7" s="671" t="s">
        <v>1</v>
      </c>
      <c r="J7" s="52"/>
    </row>
    <row r="8" spans="2:10" ht="16.5" thickBot="1" x14ac:dyDescent="0.3">
      <c r="B8" s="312"/>
      <c r="C8" s="672"/>
      <c r="D8" s="679"/>
      <c r="E8" s="679"/>
      <c r="F8" s="679"/>
      <c r="G8" s="679"/>
      <c r="H8" s="670"/>
      <c r="I8" s="672"/>
      <c r="J8" s="52"/>
    </row>
    <row r="9" spans="2:10" ht="32.1" customHeight="1" x14ac:dyDescent="0.25">
      <c r="B9" s="313" t="s">
        <v>291</v>
      </c>
      <c r="C9" s="314" t="s">
        <v>292</v>
      </c>
      <c r="D9" s="317"/>
      <c r="E9" s="317"/>
      <c r="F9" s="317"/>
      <c r="G9" s="317"/>
      <c r="H9" s="318"/>
      <c r="I9" s="317"/>
      <c r="J9" s="52"/>
    </row>
    <row r="10" spans="2:10" ht="32.1" customHeight="1" x14ac:dyDescent="0.25">
      <c r="B10" s="313" t="s">
        <v>293</v>
      </c>
      <c r="C10" s="315" t="s">
        <v>294</v>
      </c>
      <c r="D10" s="317"/>
      <c r="E10" s="317"/>
      <c r="F10" s="317"/>
      <c r="G10" s="317"/>
      <c r="H10" s="318"/>
      <c r="I10" s="317"/>
      <c r="J10" s="52"/>
    </row>
    <row r="11" spans="2:10" ht="32.1" customHeight="1" x14ac:dyDescent="0.25">
      <c r="B11" s="313" t="s">
        <v>194</v>
      </c>
      <c r="C11" s="315" t="s">
        <v>295</v>
      </c>
      <c r="D11" s="317">
        <f>+CONSOLIDADO!C151</f>
        <v>0</v>
      </c>
      <c r="E11" s="317">
        <f>+CONSOLIDADO!N151</f>
        <v>452076.11</v>
      </c>
      <c r="F11" s="317"/>
      <c r="G11" s="317"/>
      <c r="H11" s="318"/>
      <c r="I11" s="317">
        <f t="shared" ref="I11:I16" si="0">+D11+E11</f>
        <v>452076.11</v>
      </c>
      <c r="J11" s="52"/>
    </row>
    <row r="12" spans="2:10" ht="32.1" customHeight="1" x14ac:dyDescent="0.25">
      <c r="B12" s="313" t="s">
        <v>195</v>
      </c>
      <c r="C12" s="315" t="s">
        <v>296</v>
      </c>
      <c r="D12" s="317">
        <f>+CONSOLIDADO!D151</f>
        <v>408300</v>
      </c>
      <c r="E12" s="317">
        <f>+CONSOLIDADO!O151</f>
        <v>324674.45</v>
      </c>
      <c r="F12" s="317"/>
      <c r="G12" s="317"/>
      <c r="H12" s="318"/>
      <c r="I12" s="317">
        <f t="shared" si="0"/>
        <v>732974.45</v>
      </c>
      <c r="J12" s="52"/>
    </row>
    <row r="13" spans="2:10" ht="32.1" customHeight="1" x14ac:dyDescent="0.25">
      <c r="B13" s="313" t="s">
        <v>196</v>
      </c>
      <c r="C13" s="315" t="s">
        <v>417</v>
      </c>
      <c r="D13" s="317">
        <f>+CONSOLIDADO!E151</f>
        <v>0</v>
      </c>
      <c r="E13" s="317">
        <f>+CONSOLIDADO!P151</f>
        <v>80164.3</v>
      </c>
      <c r="F13" s="317"/>
      <c r="G13" s="317"/>
      <c r="H13" s="318"/>
      <c r="I13" s="317">
        <f t="shared" si="0"/>
        <v>80164.3</v>
      </c>
      <c r="J13" s="52"/>
    </row>
    <row r="14" spans="2:10" ht="32.1" customHeight="1" thickBot="1" x14ac:dyDescent="0.3">
      <c r="B14" s="312" t="s">
        <v>343</v>
      </c>
      <c r="C14" s="316" t="s">
        <v>418</v>
      </c>
      <c r="D14" s="319">
        <f>+CONSOLIDADO!F151</f>
        <v>0</v>
      </c>
      <c r="E14" s="319">
        <f>+CONSOLIDADO!Q151</f>
        <v>1369079.9800000002</v>
      </c>
      <c r="F14" s="319"/>
      <c r="G14" s="319"/>
      <c r="H14" s="320"/>
      <c r="I14" s="319">
        <f t="shared" si="0"/>
        <v>1369079.9800000002</v>
      </c>
      <c r="J14" s="52"/>
    </row>
    <row r="15" spans="2:10" ht="32.1" customHeight="1" x14ac:dyDescent="0.25">
      <c r="B15" s="313" t="s">
        <v>334</v>
      </c>
      <c r="C15" s="314" t="s">
        <v>298</v>
      </c>
      <c r="D15" s="317"/>
      <c r="E15" s="317"/>
      <c r="F15" s="317"/>
      <c r="G15" s="317"/>
      <c r="H15" s="317"/>
      <c r="I15" s="317">
        <f t="shared" si="0"/>
        <v>0</v>
      </c>
      <c r="J15" s="52"/>
    </row>
    <row r="16" spans="2:10" ht="32.1" customHeight="1" x14ac:dyDescent="0.25">
      <c r="B16" s="313" t="s">
        <v>299</v>
      </c>
      <c r="C16" s="315" t="s">
        <v>300</v>
      </c>
      <c r="D16" s="317">
        <v>0</v>
      </c>
      <c r="E16" s="317"/>
      <c r="F16" s="317"/>
      <c r="G16" s="317"/>
      <c r="H16" s="317"/>
      <c r="I16" s="317">
        <f t="shared" si="0"/>
        <v>0</v>
      </c>
      <c r="J16" s="52"/>
    </row>
    <row r="17" spans="2:10" ht="32.1" customHeight="1" thickBot="1" x14ac:dyDescent="0.3">
      <c r="B17" s="312" t="s">
        <v>480</v>
      </c>
      <c r="C17" s="316" t="s">
        <v>302</v>
      </c>
      <c r="D17" s="319">
        <f>+CONSOLIDADO!H151</f>
        <v>103000</v>
      </c>
      <c r="E17" s="319"/>
      <c r="F17" s="319"/>
      <c r="G17" s="319">
        <f>+CONSOLIDADO!L151</f>
        <v>242158.72</v>
      </c>
      <c r="H17" s="319"/>
      <c r="I17" s="319">
        <f>+D17+G17+H17</f>
        <v>345158.72</v>
      </c>
      <c r="J17" s="52"/>
    </row>
    <row r="18" spans="2:10" ht="32.1" customHeight="1" x14ac:dyDescent="0.25">
      <c r="B18" s="313" t="s">
        <v>334</v>
      </c>
      <c r="C18" s="314" t="s">
        <v>303</v>
      </c>
      <c r="D18" s="317"/>
      <c r="E18" s="317"/>
      <c r="F18" s="317"/>
      <c r="G18" s="317"/>
      <c r="H18" s="317"/>
      <c r="I18" s="321">
        <f>+D18+E18</f>
        <v>0</v>
      </c>
      <c r="J18" s="52"/>
    </row>
    <row r="19" spans="2:10" ht="32.1" customHeight="1" x14ac:dyDescent="0.25">
      <c r="B19" s="313" t="s">
        <v>339</v>
      </c>
      <c r="C19" s="315" t="s">
        <v>304</v>
      </c>
      <c r="D19" s="317"/>
      <c r="E19" s="317"/>
      <c r="F19" s="317"/>
      <c r="G19" s="317"/>
      <c r="H19" s="317"/>
      <c r="I19" s="317">
        <f>+D19+E19</f>
        <v>0</v>
      </c>
      <c r="J19" s="52"/>
    </row>
    <row r="20" spans="2:10" ht="32.1" customHeight="1" thickBot="1" x14ac:dyDescent="0.3">
      <c r="B20" s="312" t="s">
        <v>481</v>
      </c>
      <c r="C20" s="316" t="s">
        <v>306</v>
      </c>
      <c r="D20" s="319">
        <f>+CONSOLIDADO!I151</f>
        <v>132288.5</v>
      </c>
      <c r="E20" s="319">
        <v>0</v>
      </c>
      <c r="F20" s="319">
        <v>0</v>
      </c>
      <c r="G20" s="319">
        <f>+CONSOLIDADO!M151</f>
        <v>97127.4</v>
      </c>
      <c r="H20" s="319">
        <f>+CONSOLIDADO!U151</f>
        <v>0</v>
      </c>
      <c r="I20" s="319">
        <f>+D20+E20+F20+G20+H20</f>
        <v>229415.9</v>
      </c>
      <c r="J20" s="52"/>
    </row>
    <row r="21" spans="2:10" ht="32.1" customHeight="1" x14ac:dyDescent="0.25">
      <c r="B21" s="313" t="s">
        <v>482</v>
      </c>
      <c r="C21" s="315" t="s">
        <v>307</v>
      </c>
      <c r="D21" s="317"/>
      <c r="E21" s="317"/>
      <c r="F21" s="317"/>
      <c r="G21" s="317"/>
      <c r="H21" s="317"/>
      <c r="I21" s="321">
        <f>+D21+E21</f>
        <v>0</v>
      </c>
      <c r="J21" s="52"/>
    </row>
    <row r="22" spans="2:10" ht="32.1" customHeight="1" x14ac:dyDescent="0.25">
      <c r="B22" s="313" t="s">
        <v>308</v>
      </c>
      <c r="C22" s="315" t="s">
        <v>309</v>
      </c>
      <c r="D22" s="317"/>
      <c r="E22" s="317"/>
      <c r="F22" s="317"/>
      <c r="G22" s="317"/>
      <c r="H22" s="317"/>
      <c r="I22" s="317">
        <f>+D22+E22</f>
        <v>0</v>
      </c>
      <c r="J22" s="52"/>
    </row>
    <row r="23" spans="2:10" ht="32.1" customHeight="1" thickBot="1" x14ac:dyDescent="0.3">
      <c r="B23" s="313" t="s">
        <v>310</v>
      </c>
      <c r="C23" s="315" t="s">
        <v>311</v>
      </c>
      <c r="D23" s="319">
        <f>+CONSOLIDADO!J151</f>
        <v>210033.33</v>
      </c>
      <c r="E23" s="317"/>
      <c r="F23" s="317"/>
      <c r="G23" s="317"/>
      <c r="H23" s="317"/>
      <c r="I23" s="319">
        <f>+D23+E23</f>
        <v>210033.33</v>
      </c>
      <c r="J23" s="52"/>
    </row>
    <row r="24" spans="2:10" ht="32.1" customHeight="1" thickBot="1" x14ac:dyDescent="0.3">
      <c r="B24" s="673"/>
      <c r="C24" s="674"/>
      <c r="D24" s="322">
        <f>+D11+D12+D13+D14+D17+D20+D23</f>
        <v>853621.83</v>
      </c>
      <c r="E24" s="322">
        <f>+E11+E12+E13+E14+E17+E20+E23</f>
        <v>2225994.8400000003</v>
      </c>
      <c r="F24" s="322">
        <f>+F11+F12+F13+F14+F17+F20+F23</f>
        <v>0</v>
      </c>
      <c r="G24" s="322">
        <f>+G11+G12+G13+G14+G17+G20+G23</f>
        <v>339286.12</v>
      </c>
      <c r="H24" s="322">
        <f>+H11+H12+H13+H14+H17+H20+H23</f>
        <v>0</v>
      </c>
      <c r="I24" s="322">
        <f>+D24+E24+F24+G24+H24</f>
        <v>3418902.7900000005</v>
      </c>
      <c r="J24" s="52"/>
    </row>
    <row r="25" spans="2:10" ht="15.75" x14ac:dyDescent="0.25">
      <c r="B25" s="306"/>
      <c r="C25" s="52"/>
      <c r="D25" s="52"/>
      <c r="E25" s="52"/>
      <c r="F25" s="52"/>
      <c r="G25" s="52"/>
      <c r="H25" s="52"/>
      <c r="I25" s="52"/>
      <c r="J25" s="52"/>
    </row>
    <row r="26" spans="2:10" ht="15.75" x14ac:dyDescent="0.25">
      <c r="B26" s="306"/>
      <c r="C26" s="52"/>
      <c r="D26" s="52"/>
      <c r="E26" s="52"/>
      <c r="F26" s="52"/>
      <c r="G26" s="52"/>
      <c r="H26" s="52"/>
      <c r="I26" t="s">
        <v>8</v>
      </c>
      <c r="J26" s="52"/>
    </row>
    <row r="27" spans="2:10" ht="15.75" x14ac:dyDescent="0.25">
      <c r="B27" s="52"/>
      <c r="C27" s="52"/>
      <c r="D27" s="52"/>
      <c r="E27" s="52"/>
      <c r="F27" s="52"/>
      <c r="G27" s="52"/>
      <c r="H27" s="52"/>
      <c r="I27" s="54" t="s">
        <v>8</v>
      </c>
      <c r="J27" s="52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5" right="0.7" top="0.75" bottom="0.75" header="0.3" footer="0.3"/>
  <pageSetup scale="64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7" sqref="G17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ht="15.75" x14ac:dyDescent="0.25">
      <c r="A1" s="52"/>
      <c r="B1" s="52"/>
      <c r="C1" s="52"/>
      <c r="D1" s="52"/>
      <c r="E1" s="52"/>
      <c r="F1" s="52"/>
    </row>
    <row r="2" spans="1:6" ht="15.75" x14ac:dyDescent="0.25">
      <c r="A2" s="52"/>
      <c r="B2" s="686" t="s">
        <v>500</v>
      </c>
      <c r="C2" s="686"/>
      <c r="D2" s="686"/>
      <c r="E2" s="686"/>
      <c r="F2" s="52"/>
    </row>
    <row r="3" spans="1:6" ht="15.75" x14ac:dyDescent="0.25">
      <c r="A3" s="52"/>
      <c r="B3" s="686" t="s">
        <v>169</v>
      </c>
      <c r="C3" s="686"/>
      <c r="D3" s="686"/>
      <c r="E3" s="686"/>
      <c r="F3" s="52"/>
    </row>
    <row r="4" spans="1:6" ht="15.75" x14ac:dyDescent="0.25">
      <c r="A4" s="52"/>
      <c r="B4" s="688" t="s">
        <v>707</v>
      </c>
      <c r="C4" s="611"/>
      <c r="D4" s="611"/>
      <c r="E4" s="611"/>
      <c r="F4" s="52"/>
    </row>
    <row r="5" spans="1:6" ht="16.5" thickBot="1" x14ac:dyDescent="0.3">
      <c r="A5" s="52"/>
      <c r="B5" s="687" t="s">
        <v>8</v>
      </c>
      <c r="C5" s="687"/>
      <c r="D5" s="687"/>
      <c r="E5" s="687"/>
      <c r="F5" s="52"/>
    </row>
    <row r="6" spans="1:6" ht="15.75" x14ac:dyDescent="0.25">
      <c r="A6" s="52"/>
      <c r="B6" s="680" t="s">
        <v>493</v>
      </c>
      <c r="C6" s="681"/>
      <c r="D6" s="681"/>
      <c r="E6" s="682"/>
      <c r="F6" s="52"/>
    </row>
    <row r="7" spans="1:6" ht="16.5" thickBot="1" x14ac:dyDescent="0.3">
      <c r="A7" s="52"/>
      <c r="B7" s="683" t="s">
        <v>494</v>
      </c>
      <c r="C7" s="684"/>
      <c r="D7" s="684"/>
      <c r="E7" s="685"/>
      <c r="F7" s="52"/>
    </row>
    <row r="8" spans="1:6" ht="16.5" thickBot="1" x14ac:dyDescent="0.3">
      <c r="A8" s="52"/>
      <c r="B8" s="296" t="s">
        <v>319</v>
      </c>
      <c r="C8" s="297" t="s">
        <v>495</v>
      </c>
      <c r="D8" s="298" t="s">
        <v>486</v>
      </c>
      <c r="E8" s="298" t="s">
        <v>492</v>
      </c>
      <c r="F8" s="52"/>
    </row>
    <row r="9" spans="1:6" ht="15.75" x14ac:dyDescent="0.25">
      <c r="A9" s="52"/>
      <c r="B9" s="299"/>
      <c r="C9" s="52"/>
      <c r="D9" s="300"/>
      <c r="E9" s="300"/>
      <c r="F9" s="52"/>
    </row>
    <row r="10" spans="1:6" ht="15.75" x14ac:dyDescent="0.25">
      <c r="A10" s="52"/>
      <c r="B10" s="301">
        <v>1</v>
      </c>
      <c r="C10" s="302" t="s">
        <v>496</v>
      </c>
      <c r="D10" s="308">
        <v>1095780.55</v>
      </c>
      <c r="E10" s="308">
        <v>1095780.55</v>
      </c>
      <c r="F10" s="303"/>
    </row>
    <row r="11" spans="1:6" ht="15.75" x14ac:dyDescent="0.25">
      <c r="A11" s="52"/>
      <c r="B11" s="301"/>
      <c r="C11" s="302"/>
      <c r="D11" s="308"/>
      <c r="E11" s="308"/>
      <c r="F11" s="52"/>
    </row>
    <row r="12" spans="1:6" ht="15.75" x14ac:dyDescent="0.25">
      <c r="A12" s="52"/>
      <c r="B12" s="301">
        <v>2</v>
      </c>
      <c r="C12" s="302" t="s">
        <v>497</v>
      </c>
      <c r="D12" s="308">
        <v>2225994.84</v>
      </c>
      <c r="E12" s="308">
        <v>2225994.84</v>
      </c>
      <c r="F12" s="303"/>
    </row>
    <row r="13" spans="1:6" ht="15.75" x14ac:dyDescent="0.25">
      <c r="A13" s="52"/>
      <c r="B13" s="301"/>
      <c r="C13" s="302"/>
      <c r="D13" s="308"/>
      <c r="E13" s="309"/>
      <c r="F13" s="52"/>
    </row>
    <row r="14" spans="1:6" ht="15.75" x14ac:dyDescent="0.25">
      <c r="A14" s="52"/>
      <c r="B14" s="301">
        <v>3</v>
      </c>
      <c r="C14" s="302" t="s">
        <v>648</v>
      </c>
      <c r="D14" s="308"/>
      <c r="E14" s="308"/>
      <c r="F14" s="52"/>
    </row>
    <row r="15" spans="1:6" ht="15.75" x14ac:dyDescent="0.25">
      <c r="A15" s="52"/>
      <c r="B15" s="301"/>
      <c r="C15" s="302"/>
      <c r="D15" s="308"/>
      <c r="E15" s="309"/>
      <c r="F15" s="52"/>
    </row>
    <row r="16" spans="1:6" ht="15.75" x14ac:dyDescent="0.25">
      <c r="A16" s="52"/>
      <c r="B16" s="301">
        <v>4</v>
      </c>
      <c r="C16" s="302" t="s">
        <v>498</v>
      </c>
      <c r="D16" s="308">
        <f>+'Ingresos F.F.'!F86</f>
        <v>63.01</v>
      </c>
      <c r="E16" s="308">
        <v>63.01</v>
      </c>
      <c r="F16" s="52"/>
    </row>
    <row r="17" spans="1:6" ht="15.75" x14ac:dyDescent="0.25">
      <c r="A17" s="52"/>
      <c r="B17" s="301"/>
      <c r="C17" s="302"/>
      <c r="D17" s="308"/>
      <c r="E17" s="309"/>
      <c r="F17" s="52"/>
    </row>
    <row r="18" spans="1:6" ht="15.75" x14ac:dyDescent="0.25">
      <c r="A18" s="52"/>
      <c r="B18" s="301">
        <v>5</v>
      </c>
      <c r="C18" s="302" t="s">
        <v>499</v>
      </c>
      <c r="D18" s="308">
        <f>+'Ingresos F.F.'!G86</f>
        <v>97064.39</v>
      </c>
      <c r="E18" s="308">
        <v>97064.39</v>
      </c>
      <c r="F18" s="52"/>
    </row>
    <row r="19" spans="1:6" ht="16.5" thickBot="1" x14ac:dyDescent="0.3">
      <c r="A19" s="52"/>
      <c r="B19" s="304"/>
      <c r="C19" s="52"/>
      <c r="D19" s="308"/>
      <c r="E19" s="309"/>
      <c r="F19" s="52"/>
    </row>
    <row r="20" spans="1:6" ht="16.5" thickBot="1" x14ac:dyDescent="0.3">
      <c r="A20" s="52"/>
      <c r="B20" s="305"/>
      <c r="C20" s="297" t="s">
        <v>67</v>
      </c>
      <c r="D20" s="310">
        <f>SUM(D10:D18)</f>
        <v>3418902.7899999996</v>
      </c>
      <c r="E20" s="310">
        <f>SUM(E10:E18)</f>
        <v>3418902.7899999996</v>
      </c>
      <c r="F20" s="52"/>
    </row>
    <row r="21" spans="1:6" ht="15.75" x14ac:dyDescent="0.25">
      <c r="A21" s="52"/>
      <c r="B21" s="52"/>
      <c r="C21" s="306"/>
      <c r="D21" s="306"/>
      <c r="E21" s="52"/>
      <c r="F21" s="52"/>
    </row>
    <row r="22" spans="1:6" ht="15.75" x14ac:dyDescent="0.25">
      <c r="A22" s="52"/>
      <c r="B22" s="52"/>
      <c r="C22" s="295"/>
      <c r="D22" s="307"/>
      <c r="E22" s="52"/>
      <c r="F22" s="52"/>
    </row>
    <row r="23" spans="1:6" ht="15.75" x14ac:dyDescent="0.25">
      <c r="A23" s="52"/>
      <c r="B23" s="52"/>
      <c r="C23" s="52"/>
      <c r="D23" s="52"/>
      <c r="E23" s="52"/>
      <c r="F23" s="52"/>
    </row>
    <row r="24" spans="1:6" ht="15.75" x14ac:dyDescent="0.25">
      <c r="A24" s="52"/>
      <c r="B24" s="52"/>
      <c r="C24" s="52"/>
      <c r="D24" s="52"/>
      <c r="E24" s="52"/>
      <c r="F24" s="52"/>
    </row>
    <row r="25" spans="1:6" ht="15.75" x14ac:dyDescent="0.25">
      <c r="A25" s="52"/>
      <c r="B25" s="52"/>
      <c r="C25" s="52"/>
      <c r="D25" s="52"/>
      <c r="E25" s="52"/>
      <c r="F25" s="52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30" workbookViewId="0">
      <selection activeCell="D38" sqref="D38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11" bestFit="1" customWidth="1"/>
    <col min="9" max="9" width="14.42578125" customWidth="1"/>
  </cols>
  <sheetData>
    <row r="1" spans="2:9" ht="16.5" x14ac:dyDescent="0.3">
      <c r="B1" s="571" t="s">
        <v>175</v>
      </c>
      <c r="C1" s="571"/>
      <c r="D1" s="571"/>
      <c r="E1" s="571"/>
      <c r="F1" s="571"/>
      <c r="G1" s="571"/>
      <c r="H1" s="571"/>
      <c r="I1" s="571"/>
    </row>
    <row r="2" spans="2:9" ht="16.5" x14ac:dyDescent="0.3">
      <c r="B2" s="694" t="s">
        <v>483</v>
      </c>
      <c r="C2" s="694"/>
      <c r="D2" s="694"/>
      <c r="E2" s="694"/>
      <c r="F2" s="694"/>
      <c r="G2" s="694"/>
      <c r="H2" s="694"/>
      <c r="I2" s="694"/>
    </row>
    <row r="3" spans="2:9" ht="16.5" x14ac:dyDescent="0.3">
      <c r="B3" s="695" t="s">
        <v>705</v>
      </c>
      <c r="C3" s="694"/>
      <c r="D3" s="694"/>
      <c r="E3" s="694"/>
      <c r="F3" s="694"/>
      <c r="G3" s="694"/>
      <c r="H3" s="694"/>
      <c r="I3" s="694"/>
    </row>
    <row r="4" spans="2:9" ht="16.5" x14ac:dyDescent="0.3">
      <c r="B4" s="98"/>
      <c r="C4" s="98"/>
      <c r="D4" s="98"/>
      <c r="E4" s="98"/>
      <c r="F4" s="98"/>
      <c r="G4" s="98"/>
      <c r="H4" s="98"/>
      <c r="I4" s="98"/>
    </row>
    <row r="5" spans="2:9" ht="16.5" x14ac:dyDescent="0.3">
      <c r="B5" s="571" t="s">
        <v>484</v>
      </c>
      <c r="C5" s="571"/>
      <c r="D5" s="571"/>
      <c r="E5" s="571"/>
      <c r="F5" s="571"/>
      <c r="G5" s="571"/>
      <c r="H5" s="571"/>
      <c r="I5" s="571"/>
    </row>
    <row r="6" spans="2:9" ht="16.5" x14ac:dyDescent="0.3">
      <c r="B6" s="694" t="s">
        <v>485</v>
      </c>
      <c r="C6" s="694"/>
      <c r="D6" s="694"/>
      <c r="E6" s="694"/>
      <c r="F6" s="694"/>
      <c r="G6" s="694"/>
      <c r="H6" s="694"/>
      <c r="I6" s="694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689" t="s">
        <v>486</v>
      </c>
      <c r="C8" s="690"/>
      <c r="D8" s="691" t="s">
        <v>257</v>
      </c>
      <c r="E8" s="692"/>
      <c r="F8" s="692"/>
      <c r="G8" s="692"/>
      <c r="H8" s="693"/>
      <c r="I8" s="601" t="s">
        <v>1</v>
      </c>
    </row>
    <row r="9" spans="2:9" ht="17.25" thickBot="1" x14ac:dyDescent="0.35">
      <c r="B9" s="283" t="s">
        <v>487</v>
      </c>
      <c r="C9" s="284" t="s">
        <v>488</v>
      </c>
      <c r="D9" s="284" t="s">
        <v>315</v>
      </c>
      <c r="E9" s="284" t="s">
        <v>201</v>
      </c>
      <c r="F9" s="284" t="s">
        <v>316</v>
      </c>
      <c r="G9" s="284" t="s">
        <v>317</v>
      </c>
      <c r="H9" s="285" t="s">
        <v>318</v>
      </c>
      <c r="I9" s="597"/>
    </row>
    <row r="10" spans="2:9" ht="16.5" x14ac:dyDescent="0.3">
      <c r="B10" s="286">
        <v>11</v>
      </c>
      <c r="C10" s="246" t="s">
        <v>489</v>
      </c>
      <c r="D10" s="397"/>
      <c r="E10" s="397">
        <f>+'Ingresos F.F.'!D10</f>
        <v>555328.64</v>
      </c>
      <c r="F10" s="397"/>
      <c r="G10" s="397"/>
      <c r="H10" s="397"/>
      <c r="I10" s="398">
        <f t="shared" ref="I10:I24" si="0">SUM(D10:H10)</f>
        <v>555328.64</v>
      </c>
    </row>
    <row r="11" spans="2:9" ht="16.5" x14ac:dyDescent="0.3">
      <c r="B11" s="6"/>
      <c r="C11" s="7"/>
      <c r="D11" s="36"/>
      <c r="E11" s="36"/>
      <c r="F11" s="36"/>
      <c r="G11" s="36"/>
      <c r="H11" s="36"/>
      <c r="I11" s="399">
        <f t="shared" si="0"/>
        <v>0</v>
      </c>
    </row>
    <row r="12" spans="2:9" ht="16.5" x14ac:dyDescent="0.3">
      <c r="B12" s="287">
        <v>12</v>
      </c>
      <c r="C12" s="226" t="s">
        <v>3</v>
      </c>
      <c r="D12" s="36"/>
      <c r="E12" s="36">
        <f>+'Ingresos F.F.'!D30</f>
        <v>982474.15999999992</v>
      </c>
      <c r="F12" s="36"/>
      <c r="G12" s="36"/>
      <c r="H12" s="36"/>
      <c r="I12" s="399">
        <f t="shared" si="0"/>
        <v>982474.15999999992</v>
      </c>
    </row>
    <row r="13" spans="2:9" ht="16.5" x14ac:dyDescent="0.3">
      <c r="B13" s="287"/>
      <c r="C13" s="226"/>
      <c r="D13" s="36"/>
      <c r="E13" s="36"/>
      <c r="F13" s="36"/>
      <c r="G13" s="36"/>
      <c r="H13" s="36"/>
      <c r="I13" s="399">
        <f t="shared" si="0"/>
        <v>0</v>
      </c>
    </row>
    <row r="14" spans="2:9" ht="16.5" x14ac:dyDescent="0.3">
      <c r="B14" s="287">
        <v>14</v>
      </c>
      <c r="C14" s="226" t="s">
        <v>490</v>
      </c>
      <c r="D14" s="36"/>
      <c r="E14" s="36">
        <f>+'Ingresos F.F.'!D50</f>
        <v>407824.8</v>
      </c>
      <c r="F14" s="36"/>
      <c r="G14" s="36"/>
      <c r="H14" s="36"/>
      <c r="I14" s="399">
        <f t="shared" si="0"/>
        <v>407824.8</v>
      </c>
    </row>
    <row r="15" spans="2:9" ht="16.5" x14ac:dyDescent="0.3">
      <c r="B15" s="6"/>
      <c r="C15" s="7"/>
      <c r="D15" s="36"/>
      <c r="E15" s="36"/>
      <c r="F15" s="36"/>
      <c r="G15" s="36"/>
      <c r="H15" s="36"/>
      <c r="I15" s="399">
        <f t="shared" si="0"/>
        <v>0</v>
      </c>
    </row>
    <row r="16" spans="2:9" ht="16.5" x14ac:dyDescent="0.3">
      <c r="B16" s="287">
        <v>15</v>
      </c>
      <c r="C16" s="226" t="s">
        <v>4</v>
      </c>
      <c r="D16" s="36"/>
      <c r="E16" s="36">
        <f>+'Ingresos F.F.'!D55</f>
        <v>274022</v>
      </c>
      <c r="F16" s="36"/>
      <c r="G16" s="36"/>
      <c r="H16" s="36"/>
      <c r="I16" s="399">
        <f t="shared" si="0"/>
        <v>274022</v>
      </c>
    </row>
    <row r="17" spans="2:9" ht="16.5" x14ac:dyDescent="0.3">
      <c r="B17" s="6"/>
      <c r="C17" s="7"/>
      <c r="D17" s="36"/>
      <c r="E17" s="36"/>
      <c r="F17" s="36"/>
      <c r="G17" s="36"/>
      <c r="H17" s="36"/>
      <c r="I17" s="399">
        <f t="shared" si="0"/>
        <v>0</v>
      </c>
    </row>
    <row r="18" spans="2:9" ht="16.5" x14ac:dyDescent="0.3">
      <c r="B18" s="287">
        <v>16</v>
      </c>
      <c r="C18" s="226" t="s">
        <v>491</v>
      </c>
      <c r="D18" s="36">
        <f>+'Ingresos F.F.'!C66</f>
        <v>698456.64</v>
      </c>
      <c r="E18" s="36"/>
      <c r="F18" s="36"/>
      <c r="G18" s="36"/>
      <c r="H18" s="36"/>
      <c r="I18" s="399">
        <f t="shared" si="0"/>
        <v>698456.64</v>
      </c>
    </row>
    <row r="19" spans="2:9" ht="16.5" x14ac:dyDescent="0.3">
      <c r="B19" s="6"/>
      <c r="C19" s="7"/>
      <c r="D19" s="36"/>
      <c r="E19" s="36"/>
      <c r="F19" s="36"/>
      <c r="G19" s="36"/>
      <c r="H19" s="36"/>
      <c r="I19" s="399">
        <f t="shared" si="0"/>
        <v>0</v>
      </c>
    </row>
    <row r="20" spans="2:9" ht="16.5" x14ac:dyDescent="0.3">
      <c r="B20" s="287">
        <v>22</v>
      </c>
      <c r="C20" s="226" t="s">
        <v>6</v>
      </c>
      <c r="D20" s="36">
        <f>+'Ingresos F.F.'!C70</f>
        <v>210033.33</v>
      </c>
      <c r="E20" s="36"/>
      <c r="F20" s="36"/>
      <c r="G20" s="36"/>
      <c r="H20" s="504">
        <v>89004</v>
      </c>
      <c r="I20" s="399">
        <f t="shared" si="0"/>
        <v>299037.32999999996</v>
      </c>
    </row>
    <row r="21" spans="2:9" ht="16.5" x14ac:dyDescent="0.3">
      <c r="B21" s="6"/>
      <c r="C21" s="7"/>
      <c r="D21" s="36"/>
      <c r="E21" s="36"/>
      <c r="F21" s="36"/>
      <c r="G21" s="36"/>
      <c r="H21" s="36"/>
      <c r="I21" s="399">
        <f t="shared" si="0"/>
        <v>0</v>
      </c>
    </row>
    <row r="22" spans="2:9" ht="16.5" x14ac:dyDescent="0.3">
      <c r="B22" s="287">
        <v>31</v>
      </c>
      <c r="C22" s="226" t="s">
        <v>7</v>
      </c>
      <c r="D22" s="36"/>
      <c r="E22" s="36"/>
      <c r="F22" s="36"/>
      <c r="G22" s="36"/>
      <c r="H22" s="36"/>
      <c r="I22" s="399">
        <f t="shared" si="0"/>
        <v>0</v>
      </c>
    </row>
    <row r="23" spans="2:9" ht="17.25" thickBot="1" x14ac:dyDescent="0.35">
      <c r="B23" s="287">
        <v>31</v>
      </c>
      <c r="C23" s="226" t="s">
        <v>7</v>
      </c>
      <c r="D23" s="36"/>
      <c r="E23" s="36"/>
      <c r="F23" s="36"/>
      <c r="G23" s="281">
        <f>+'Ingresos F.F.'!F80</f>
        <v>0</v>
      </c>
      <c r="H23" s="36"/>
      <c r="I23" s="399">
        <f t="shared" si="0"/>
        <v>0</v>
      </c>
    </row>
    <row r="24" spans="2:9" ht="17.25" thickBot="1" x14ac:dyDescent="0.35">
      <c r="B24" s="288">
        <v>32</v>
      </c>
      <c r="C24" s="289" t="s">
        <v>182</v>
      </c>
      <c r="D24" s="36">
        <f>+'Ingresos F.F.'!C82</f>
        <v>168544.86</v>
      </c>
      <c r="E24" s="281">
        <f>+'Ingresos F.F.'!D82</f>
        <v>6345.24</v>
      </c>
      <c r="F24" s="281">
        <f>+'Ingresos F.F.'!E82</f>
        <v>18745.72</v>
      </c>
      <c r="G24" s="281">
        <f>+'Ingresos F.F.'!F82</f>
        <v>63.01</v>
      </c>
      <c r="H24" s="281">
        <f>+'Ingresos F.F.'!G82</f>
        <v>8060.39</v>
      </c>
      <c r="I24" s="400">
        <f t="shared" si="0"/>
        <v>201759.22</v>
      </c>
    </row>
    <row r="25" spans="2:9" ht="17.25" thickBot="1" x14ac:dyDescent="0.35">
      <c r="B25" s="290"/>
      <c r="C25" s="291" t="s">
        <v>1</v>
      </c>
      <c r="D25" s="401">
        <f t="shared" ref="D25:I25" si="1">SUM(D10:D24)</f>
        <v>1077034.83</v>
      </c>
      <c r="E25" s="401">
        <f t="shared" si="1"/>
        <v>2225994.84</v>
      </c>
      <c r="F25" s="401">
        <f t="shared" si="1"/>
        <v>18745.72</v>
      </c>
      <c r="G25" s="401">
        <f t="shared" si="1"/>
        <v>63.01</v>
      </c>
      <c r="H25" s="401">
        <f t="shared" si="1"/>
        <v>97064.39</v>
      </c>
      <c r="I25" s="401">
        <f t="shared" si="1"/>
        <v>3418902.79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689" t="s">
        <v>492</v>
      </c>
      <c r="C27" s="690"/>
      <c r="D27" s="691" t="s">
        <v>257</v>
      </c>
      <c r="E27" s="692"/>
      <c r="F27" s="692"/>
      <c r="G27" s="692"/>
      <c r="H27" s="693"/>
      <c r="I27" s="601" t="s">
        <v>1</v>
      </c>
    </row>
    <row r="28" spans="2:9" ht="17.25" thickBot="1" x14ac:dyDescent="0.35">
      <c r="B28" s="283" t="s">
        <v>487</v>
      </c>
      <c r="C28" s="284" t="s">
        <v>488</v>
      </c>
      <c r="D28" s="292" t="s">
        <v>315</v>
      </c>
      <c r="E28" s="284" t="s">
        <v>201</v>
      </c>
      <c r="F28" s="284" t="s">
        <v>316</v>
      </c>
      <c r="G28" s="284" t="s">
        <v>317</v>
      </c>
      <c r="H28" s="285" t="s">
        <v>318</v>
      </c>
      <c r="I28" s="597"/>
    </row>
    <row r="29" spans="2:9" ht="17.25" thickBot="1" x14ac:dyDescent="0.35">
      <c r="B29" s="286">
        <v>51</v>
      </c>
      <c r="C29" s="293" t="s">
        <v>71</v>
      </c>
      <c r="D29" s="402">
        <f>+Remuneraciones!C11</f>
        <v>0</v>
      </c>
      <c r="E29" s="402">
        <v>1837951.8</v>
      </c>
      <c r="F29" s="402"/>
      <c r="G29" s="402"/>
      <c r="H29" s="402"/>
      <c r="I29" s="403">
        <f t="shared" ref="I29:I44" si="2">SUM(D29:H29)</f>
        <v>1837951.8</v>
      </c>
    </row>
    <row r="30" spans="2:9" ht="17.25" thickBot="1" x14ac:dyDescent="0.35">
      <c r="B30" s="287"/>
      <c r="C30" s="226"/>
      <c r="D30" s="402"/>
      <c r="E30" s="402"/>
      <c r="F30" s="28"/>
      <c r="G30" s="28"/>
      <c r="H30" s="28"/>
      <c r="I30" s="46">
        <f t="shared" si="2"/>
        <v>0</v>
      </c>
    </row>
    <row r="31" spans="2:9" ht="17.25" thickBot="1" x14ac:dyDescent="0.35">
      <c r="B31" s="287">
        <v>54</v>
      </c>
      <c r="C31" s="226" t="s">
        <v>88</v>
      </c>
      <c r="D31" s="402">
        <v>408000</v>
      </c>
      <c r="E31" s="402">
        <v>576998.57999999996</v>
      </c>
      <c r="F31" s="28"/>
      <c r="G31" s="28"/>
      <c r="H31" s="28"/>
      <c r="I31" s="46">
        <f t="shared" si="2"/>
        <v>984998.58</v>
      </c>
    </row>
    <row r="32" spans="2:9" ht="17.25" thickBot="1" x14ac:dyDescent="0.35">
      <c r="B32" s="287"/>
      <c r="C32" s="226"/>
      <c r="D32" s="402">
        <f>+Remuneraciones!C14</f>
        <v>0</v>
      </c>
      <c r="E32" s="402"/>
      <c r="F32" s="28"/>
      <c r="G32" s="28"/>
      <c r="H32" s="28"/>
      <c r="I32" s="46">
        <f t="shared" si="2"/>
        <v>0</v>
      </c>
    </row>
    <row r="33" spans="2:9" ht="17.25" thickBot="1" x14ac:dyDescent="0.35">
      <c r="B33" s="287">
        <v>55</v>
      </c>
      <c r="C33" s="226" t="s">
        <v>129</v>
      </c>
      <c r="D33" s="402">
        <v>4213.75</v>
      </c>
      <c r="E33" s="402">
        <v>16457.46</v>
      </c>
      <c r="F33" s="28"/>
      <c r="G33" s="28"/>
      <c r="H33" s="28"/>
      <c r="I33" s="46">
        <f t="shared" si="2"/>
        <v>20671.21</v>
      </c>
    </row>
    <row r="34" spans="2:9" ht="17.25" thickBot="1" x14ac:dyDescent="0.35">
      <c r="B34" s="287"/>
      <c r="C34" s="226"/>
      <c r="D34" s="402"/>
      <c r="E34" s="402"/>
      <c r="F34" s="28"/>
      <c r="G34" s="28"/>
      <c r="H34" s="28"/>
      <c r="I34" s="46">
        <f t="shared" si="2"/>
        <v>0</v>
      </c>
    </row>
    <row r="35" spans="2:9" ht="16.5" x14ac:dyDescent="0.3">
      <c r="B35" s="287">
        <v>56</v>
      </c>
      <c r="C35" s="226" t="s">
        <v>57</v>
      </c>
      <c r="D35" s="402">
        <f>+Remuneraciones!C108</f>
        <v>0</v>
      </c>
      <c r="E35" s="402">
        <f>+Remuneraciones!D108</f>
        <v>4000</v>
      </c>
      <c r="F35" s="28"/>
      <c r="G35" s="28"/>
      <c r="H35" s="28"/>
      <c r="I35" s="46">
        <f t="shared" si="2"/>
        <v>4000</v>
      </c>
    </row>
    <row r="36" spans="2:9" ht="17.25" thickBot="1" x14ac:dyDescent="0.35">
      <c r="B36" s="287"/>
      <c r="C36" s="226"/>
      <c r="D36" s="28"/>
      <c r="E36" s="28"/>
      <c r="F36" s="28"/>
      <c r="G36" s="28"/>
      <c r="H36" s="28"/>
      <c r="I36" s="46">
        <f t="shared" si="2"/>
        <v>0</v>
      </c>
    </row>
    <row r="37" spans="2:9" ht="16.5" x14ac:dyDescent="0.3">
      <c r="B37" s="287" t="s">
        <v>389</v>
      </c>
      <c r="C37" s="226" t="s">
        <v>143</v>
      </c>
      <c r="D37" s="402">
        <v>208034.22</v>
      </c>
      <c r="E37" s="402">
        <v>60000</v>
      </c>
      <c r="F37" s="28"/>
      <c r="G37" s="28"/>
      <c r="H37" s="28">
        <v>97064.39</v>
      </c>
      <c r="I37" s="46">
        <f t="shared" si="2"/>
        <v>365098.61</v>
      </c>
    </row>
    <row r="38" spans="2:9" ht="17.25" thickBot="1" x14ac:dyDescent="0.35">
      <c r="B38" s="287"/>
      <c r="C38" s="226"/>
      <c r="D38" s="28"/>
      <c r="E38" s="28"/>
      <c r="F38" s="28"/>
      <c r="G38" s="28"/>
      <c r="H38" s="28"/>
      <c r="I38" s="46">
        <f t="shared" si="2"/>
        <v>0</v>
      </c>
    </row>
    <row r="39" spans="2:9" ht="16.5" x14ac:dyDescent="0.3">
      <c r="B39" s="287">
        <v>71</v>
      </c>
      <c r="C39" s="226" t="s">
        <v>183</v>
      </c>
      <c r="D39" s="402">
        <v>206119.58</v>
      </c>
      <c r="E39" s="402"/>
      <c r="F39" s="28"/>
      <c r="G39" s="28"/>
      <c r="H39" s="28"/>
      <c r="I39" s="46">
        <f t="shared" si="2"/>
        <v>206119.58</v>
      </c>
    </row>
    <row r="40" spans="2:9" ht="17.25" thickBot="1" x14ac:dyDescent="0.35">
      <c r="B40" s="287"/>
      <c r="C40" s="226"/>
      <c r="D40" s="28"/>
      <c r="E40" s="28"/>
      <c r="F40" s="28"/>
      <c r="G40" s="28"/>
      <c r="H40" s="28"/>
      <c r="I40" s="46">
        <f t="shared" si="2"/>
        <v>0</v>
      </c>
    </row>
    <row r="41" spans="2:9" ht="16.5" x14ac:dyDescent="0.3">
      <c r="B41" s="287">
        <v>72</v>
      </c>
      <c r="C41" s="226" t="s">
        <v>182</v>
      </c>
      <c r="D41" s="28">
        <v>63.01</v>
      </c>
      <c r="E41" s="402"/>
      <c r="F41" s="28"/>
      <c r="G41" s="28"/>
      <c r="H41" s="28"/>
      <c r="I41" s="46">
        <f t="shared" si="2"/>
        <v>63.01</v>
      </c>
    </row>
    <row r="42" spans="2:9" ht="16.5" x14ac:dyDescent="0.3">
      <c r="B42" s="6"/>
      <c r="C42" s="226"/>
      <c r="D42" s="28"/>
      <c r="E42" s="28"/>
      <c r="F42" s="28"/>
      <c r="G42" s="28"/>
      <c r="H42" s="28"/>
      <c r="I42" s="46">
        <f t="shared" si="2"/>
        <v>0</v>
      </c>
    </row>
    <row r="43" spans="2:9" ht="17.25" thickBot="1" x14ac:dyDescent="0.35">
      <c r="B43" s="288">
        <v>99</v>
      </c>
      <c r="C43" s="289" t="s">
        <v>407</v>
      </c>
      <c r="D43" s="263"/>
      <c r="E43" s="263"/>
      <c r="F43" s="263"/>
      <c r="G43" s="263"/>
      <c r="H43" s="263"/>
      <c r="I43" s="264">
        <f t="shared" si="2"/>
        <v>0</v>
      </c>
    </row>
    <row r="44" spans="2:9" ht="17.25" thickBot="1" x14ac:dyDescent="0.35">
      <c r="B44" s="294"/>
      <c r="C44" s="291" t="s">
        <v>1</v>
      </c>
      <c r="D44" s="401">
        <f>SUM(D29:D43)</f>
        <v>826430.55999999994</v>
      </c>
      <c r="E44" s="404">
        <f>SUM(E29:E43)</f>
        <v>2495407.84</v>
      </c>
      <c r="F44" s="401">
        <f>SUM(F29:F43)</f>
        <v>0</v>
      </c>
      <c r="G44" s="404">
        <f>SUM(G29:G43)</f>
        <v>0</v>
      </c>
      <c r="H44" s="401">
        <f>SUM(H29:H43)</f>
        <v>97064.39</v>
      </c>
      <c r="I44" s="190">
        <f t="shared" si="2"/>
        <v>3418902.79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282" t="s">
        <v>8</v>
      </c>
    </row>
    <row r="47" spans="2:9" x14ac:dyDescent="0.25">
      <c r="I47" s="395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94"/>
  <sheetViews>
    <sheetView topLeftCell="A32" workbookViewId="0">
      <selection activeCell="M84" sqref="M84"/>
    </sheetView>
  </sheetViews>
  <sheetFormatPr baseColWidth="10" defaultRowHeight="15" x14ac:dyDescent="0.25"/>
  <cols>
    <col min="1" max="1" width="8" customWidth="1"/>
    <col min="2" max="2" width="0.5703125" hidden="1" customWidth="1"/>
    <col min="5" max="6" width="12.28515625" customWidth="1"/>
    <col min="7" max="7" width="19.5703125" customWidth="1"/>
    <col min="8" max="8" width="12.42578125" customWidth="1"/>
    <col min="9" max="9" width="12.7109375" customWidth="1"/>
    <col min="10" max="10" width="13" customWidth="1"/>
    <col min="11" max="11" width="21.42578125" bestFit="1" customWidth="1"/>
  </cols>
  <sheetData>
    <row r="2" spans="3:11" x14ac:dyDescent="0.25">
      <c r="C2" s="697" t="s">
        <v>312</v>
      </c>
      <c r="D2" s="697"/>
      <c r="E2" s="697"/>
      <c r="F2" s="697"/>
      <c r="G2" s="697"/>
      <c r="H2" s="697"/>
      <c r="I2" s="697"/>
      <c r="J2" s="697"/>
      <c r="K2" s="697"/>
    </row>
    <row r="3" spans="3:11" ht="15.75" x14ac:dyDescent="0.25">
      <c r="C3" s="659" t="s">
        <v>723</v>
      </c>
      <c r="D3" s="659"/>
      <c r="E3" s="659"/>
      <c r="F3" s="659"/>
      <c r="G3" s="659"/>
      <c r="H3" s="659"/>
      <c r="I3" s="659"/>
      <c r="J3" s="659"/>
    </row>
    <row r="4" spans="3:11" x14ac:dyDescent="0.25">
      <c r="C4" s="531"/>
      <c r="D4" s="531"/>
      <c r="E4" s="410" t="s">
        <v>724</v>
      </c>
      <c r="F4" s="531"/>
      <c r="G4" s="531"/>
      <c r="H4" s="531"/>
      <c r="I4" s="532"/>
      <c r="J4" s="531"/>
    </row>
    <row r="5" spans="3:11" x14ac:dyDescent="0.25">
      <c r="C5" s="411" t="s">
        <v>514</v>
      </c>
      <c r="D5" s="411" t="s">
        <v>515</v>
      </c>
      <c r="E5" s="411">
        <v>2018</v>
      </c>
      <c r="F5" s="411">
        <v>2019</v>
      </c>
      <c r="G5" s="412">
        <v>2020</v>
      </c>
      <c r="H5" s="412">
        <v>2021</v>
      </c>
      <c r="I5" s="495">
        <v>2022</v>
      </c>
      <c r="J5" s="494" t="s">
        <v>725</v>
      </c>
      <c r="K5" s="496" t="s">
        <v>726</v>
      </c>
    </row>
    <row r="6" spans="3:11" x14ac:dyDescent="0.25">
      <c r="C6" s="411"/>
      <c r="D6" s="411"/>
      <c r="E6" s="412"/>
      <c r="F6" s="411"/>
      <c r="G6" s="412"/>
      <c r="H6" s="412"/>
      <c r="I6" s="483"/>
      <c r="J6" s="412"/>
      <c r="K6" s="481"/>
    </row>
    <row r="7" spans="3:11" x14ac:dyDescent="0.25">
      <c r="C7" s="533">
        <v>11801</v>
      </c>
      <c r="D7" s="534" t="s">
        <v>516</v>
      </c>
      <c r="E7" s="458">
        <v>238591.5</v>
      </c>
      <c r="F7" s="458">
        <v>185377.7</v>
      </c>
      <c r="G7" s="458">
        <v>197278.4</v>
      </c>
      <c r="H7" s="458">
        <f>2*(76713.3)</f>
        <v>153426.6</v>
      </c>
      <c r="I7" s="484">
        <f>12*(110533.64/7)</f>
        <v>189486.24</v>
      </c>
      <c r="J7" s="468">
        <f t="shared" ref="J7:J24" si="0">ROUND((I7+(I7*$F$92)),0)</f>
        <v>189486</v>
      </c>
      <c r="K7" s="518">
        <v>284066.28000000003</v>
      </c>
    </row>
    <row r="8" spans="3:11" x14ac:dyDescent="0.25">
      <c r="C8" s="533">
        <v>11802</v>
      </c>
      <c r="D8" s="534" t="s">
        <v>517</v>
      </c>
      <c r="E8" s="458">
        <v>937.26</v>
      </c>
      <c r="F8" s="458">
        <v>11359.28</v>
      </c>
      <c r="G8" s="458">
        <v>29640.38</v>
      </c>
      <c r="H8" s="458">
        <f>2*(669.8)</f>
        <v>1339.6</v>
      </c>
      <c r="I8" s="484">
        <f>12*(8206.8/7)</f>
        <v>14068.8</v>
      </c>
      <c r="J8" s="468">
        <f t="shared" si="0"/>
        <v>14069</v>
      </c>
      <c r="K8" s="482">
        <v>17070.64</v>
      </c>
    </row>
    <row r="9" spans="3:11" x14ac:dyDescent="0.25">
      <c r="C9" s="533">
        <v>11803</v>
      </c>
      <c r="D9" s="534" t="s">
        <v>518</v>
      </c>
      <c r="E9" s="458">
        <v>122222.72</v>
      </c>
      <c r="F9" s="458">
        <v>113135.36</v>
      </c>
      <c r="G9" s="458">
        <v>125648.16</v>
      </c>
      <c r="H9" s="458">
        <f>2*(67401.55)</f>
        <v>134803.1</v>
      </c>
      <c r="I9" s="484">
        <f>12*(43083.81/7)</f>
        <v>73857.959999999992</v>
      </c>
      <c r="J9" s="468">
        <f t="shared" si="0"/>
        <v>73858</v>
      </c>
      <c r="K9" s="482">
        <v>142969.92000000001</v>
      </c>
    </row>
    <row r="10" spans="3:11" x14ac:dyDescent="0.25">
      <c r="C10" s="533">
        <v>11804</v>
      </c>
      <c r="D10" s="534" t="s">
        <v>519</v>
      </c>
      <c r="E10" s="458">
        <v>2287.11</v>
      </c>
      <c r="F10" s="458">
        <v>1901.72</v>
      </c>
      <c r="G10" s="458">
        <v>2296.88</v>
      </c>
      <c r="H10" s="458">
        <f>2*(1029.8)</f>
        <v>2059.6</v>
      </c>
      <c r="I10" s="484">
        <f>12*(1369.34/7)</f>
        <v>2347.4399999999996</v>
      </c>
      <c r="J10" s="468">
        <f t="shared" si="0"/>
        <v>2347</v>
      </c>
      <c r="K10" s="482">
        <v>4863.4799999999996</v>
      </c>
    </row>
    <row r="11" spans="3:11" x14ac:dyDescent="0.25">
      <c r="C11" s="533">
        <v>11805</v>
      </c>
      <c r="D11" s="534" t="s">
        <v>520</v>
      </c>
      <c r="E11" s="458">
        <v>22909.72</v>
      </c>
      <c r="F11" s="458">
        <v>17126.38</v>
      </c>
      <c r="G11" s="458">
        <v>51185.67</v>
      </c>
      <c r="H11" s="458">
        <f>2*(28236.75)</f>
        <v>56473.5</v>
      </c>
      <c r="I11" s="484">
        <f>12*(32584.28/7)</f>
        <v>55858.765714285721</v>
      </c>
      <c r="J11" s="468">
        <f t="shared" si="0"/>
        <v>55859</v>
      </c>
      <c r="K11" s="482">
        <v>63821.88</v>
      </c>
    </row>
    <row r="12" spans="3:11" x14ac:dyDescent="0.25">
      <c r="C12" s="533">
        <v>11806</v>
      </c>
      <c r="D12" s="534" t="s">
        <v>521</v>
      </c>
      <c r="E12" s="458">
        <v>3437.57</v>
      </c>
      <c r="F12" s="458">
        <v>1295.6400000000001</v>
      </c>
      <c r="G12" s="458">
        <v>4208.5200000000004</v>
      </c>
      <c r="H12" s="458">
        <f>2*(718.71)</f>
        <v>1437.42</v>
      </c>
      <c r="I12" s="484">
        <f>12*(1206.44/7)</f>
        <v>2068.1828571428573</v>
      </c>
      <c r="J12" s="468">
        <f t="shared" si="0"/>
        <v>2068</v>
      </c>
      <c r="K12" s="482">
        <v>3938.28</v>
      </c>
    </row>
    <row r="13" spans="3:11" x14ac:dyDescent="0.25">
      <c r="C13" s="533">
        <v>11808</v>
      </c>
      <c r="D13" s="534" t="s">
        <v>522</v>
      </c>
      <c r="E13" s="458">
        <v>74.23</v>
      </c>
      <c r="F13" s="458">
        <v>125.62</v>
      </c>
      <c r="G13" s="458">
        <v>19.57</v>
      </c>
      <c r="H13" s="458">
        <f>2*(13.74)</f>
        <v>27.48</v>
      </c>
      <c r="I13" s="484">
        <f>12*(37.15/7)</f>
        <v>63.685714285714283</v>
      </c>
      <c r="J13" s="468">
        <f t="shared" si="0"/>
        <v>64</v>
      </c>
      <c r="K13" s="482">
        <v>219.36</v>
      </c>
    </row>
    <row r="14" spans="3:11" x14ac:dyDescent="0.25">
      <c r="C14" s="533">
        <v>11809</v>
      </c>
      <c r="D14" s="534" t="s">
        <v>523</v>
      </c>
      <c r="E14" s="458">
        <v>34.520000000000003</v>
      </c>
      <c r="F14" s="458">
        <v>34.32</v>
      </c>
      <c r="G14" s="458">
        <v>24.51</v>
      </c>
      <c r="H14" s="458">
        <v>0</v>
      </c>
      <c r="I14" s="484"/>
      <c r="J14" s="468">
        <f t="shared" si="0"/>
        <v>0</v>
      </c>
      <c r="K14" s="482">
        <v>27.48</v>
      </c>
    </row>
    <row r="15" spans="3:11" x14ac:dyDescent="0.25">
      <c r="C15" s="533">
        <v>11810</v>
      </c>
      <c r="D15" s="534" t="s">
        <v>524</v>
      </c>
      <c r="E15" s="458">
        <v>349.68</v>
      </c>
      <c r="F15" s="458">
        <v>450.22</v>
      </c>
      <c r="G15" s="458">
        <v>425.11</v>
      </c>
      <c r="H15" s="458">
        <f>2*(148.58)</f>
        <v>297.16000000000003</v>
      </c>
      <c r="I15" s="484">
        <f>12*(303.41/7)</f>
        <v>520.13142857142861</v>
      </c>
      <c r="J15" s="468">
        <f t="shared" si="0"/>
        <v>520</v>
      </c>
      <c r="K15" s="482">
        <v>528</v>
      </c>
    </row>
    <row r="16" spans="3:11" x14ac:dyDescent="0.25">
      <c r="C16" s="533">
        <v>11811</v>
      </c>
      <c r="D16" s="534" t="s">
        <v>525</v>
      </c>
      <c r="E16" s="413"/>
      <c r="F16" s="458"/>
      <c r="G16" s="458"/>
      <c r="H16" s="458">
        <v>0</v>
      </c>
      <c r="I16" s="484"/>
      <c r="J16" s="468">
        <f t="shared" si="0"/>
        <v>0</v>
      </c>
      <c r="K16" s="482"/>
    </row>
    <row r="17" spans="3:11" x14ac:dyDescent="0.25">
      <c r="C17" s="533">
        <v>11812</v>
      </c>
      <c r="D17" s="534" t="s">
        <v>526</v>
      </c>
      <c r="E17" s="457">
        <v>5324.62</v>
      </c>
      <c r="F17" s="458">
        <v>6432.78</v>
      </c>
      <c r="G17" s="458">
        <v>5464.76</v>
      </c>
      <c r="H17" s="458">
        <f>2*(1716.69)</f>
        <v>3433.38</v>
      </c>
      <c r="I17" s="484">
        <f>12*(3042.9/7)</f>
        <v>5216.3999999999996</v>
      </c>
      <c r="J17" s="468">
        <f t="shared" si="0"/>
        <v>5216</v>
      </c>
      <c r="K17" s="482">
        <v>6512.76</v>
      </c>
    </row>
    <row r="18" spans="3:11" x14ac:dyDescent="0.25">
      <c r="C18" s="533">
        <v>11813</v>
      </c>
      <c r="D18" s="534" t="s">
        <v>527</v>
      </c>
      <c r="E18" s="457">
        <v>4062.18</v>
      </c>
      <c r="F18" s="458">
        <v>3273.74</v>
      </c>
      <c r="G18" s="458">
        <v>3300.27</v>
      </c>
      <c r="H18" s="458">
        <f>2*(1474.04)</f>
        <v>2948.08</v>
      </c>
      <c r="I18" s="484">
        <f>12*(2271.05/7)</f>
        <v>3893.2285714285717</v>
      </c>
      <c r="J18" s="468">
        <f t="shared" si="0"/>
        <v>3893</v>
      </c>
      <c r="K18" s="482">
        <v>6581.96</v>
      </c>
    </row>
    <row r="19" spans="3:11" x14ac:dyDescent="0.25">
      <c r="C19" s="533">
        <v>11814</v>
      </c>
      <c r="D19" s="534" t="s">
        <v>528</v>
      </c>
      <c r="E19" s="457">
        <v>1491.18</v>
      </c>
      <c r="F19" s="458">
        <v>1199.8</v>
      </c>
      <c r="G19" s="458">
        <v>1160.6199999999999</v>
      </c>
      <c r="H19" s="458">
        <f>2*(574.19)</f>
        <v>1148.3800000000001</v>
      </c>
      <c r="I19" s="484">
        <f>12*(908.42/7)</f>
        <v>1557.2914285714282</v>
      </c>
      <c r="J19" s="468">
        <f t="shared" si="0"/>
        <v>1557</v>
      </c>
      <c r="K19" s="482">
        <v>3085.2</v>
      </c>
    </row>
    <row r="20" spans="3:11" x14ac:dyDescent="0.25">
      <c r="C20" s="533">
        <v>11815</v>
      </c>
      <c r="D20" s="534" t="s">
        <v>529</v>
      </c>
      <c r="E20" s="457">
        <v>1097.8699999999999</v>
      </c>
      <c r="F20" s="458">
        <v>1039.02</v>
      </c>
      <c r="G20" s="458">
        <v>1031.67</v>
      </c>
      <c r="H20" s="458">
        <f>2*(521.2)</f>
        <v>1042.4000000000001</v>
      </c>
      <c r="I20" s="484">
        <f>12*(461.8/7)</f>
        <v>791.65714285714284</v>
      </c>
      <c r="J20" s="468">
        <f t="shared" si="0"/>
        <v>792</v>
      </c>
      <c r="K20" s="482">
        <v>816.12</v>
      </c>
    </row>
    <row r="21" spans="3:11" x14ac:dyDescent="0.25">
      <c r="C21" s="533">
        <v>11816</v>
      </c>
      <c r="D21" s="534" t="s">
        <v>530</v>
      </c>
      <c r="E21" s="457">
        <v>4290.32</v>
      </c>
      <c r="F21" s="458">
        <v>4146.2</v>
      </c>
      <c r="G21" s="458">
        <v>3493.52</v>
      </c>
      <c r="H21" s="458">
        <f>2*(460.58)</f>
        <v>921.16</v>
      </c>
      <c r="I21" s="484">
        <f>12*(880.63/7)</f>
        <v>1509.6514285714286</v>
      </c>
      <c r="J21" s="468">
        <f t="shared" si="0"/>
        <v>1510</v>
      </c>
      <c r="K21" s="482">
        <v>8258.52</v>
      </c>
    </row>
    <row r="22" spans="3:11" x14ac:dyDescent="0.25">
      <c r="C22" s="533">
        <v>11817</v>
      </c>
      <c r="D22" s="534" t="s">
        <v>531</v>
      </c>
      <c r="E22" s="457">
        <v>3243.96</v>
      </c>
      <c r="F22" s="458">
        <v>2870.44</v>
      </c>
      <c r="G22" s="458">
        <v>3722.55</v>
      </c>
      <c r="H22" s="458">
        <f>2*(1462.14)</f>
        <v>2924.28</v>
      </c>
      <c r="I22" s="484">
        <f>12*(1911.27/7)</f>
        <v>3276.4628571428566</v>
      </c>
      <c r="J22" s="468">
        <f t="shared" si="0"/>
        <v>3276</v>
      </c>
      <c r="K22" s="482">
        <v>5072.76</v>
      </c>
    </row>
    <row r="23" spans="3:11" x14ac:dyDescent="0.25">
      <c r="C23" s="533">
        <v>11818</v>
      </c>
      <c r="D23" s="534" t="s">
        <v>532</v>
      </c>
      <c r="E23" s="457">
        <v>2151.75</v>
      </c>
      <c r="F23" s="458">
        <v>1948.24</v>
      </c>
      <c r="G23" s="458">
        <v>2063.88</v>
      </c>
      <c r="H23" s="458">
        <f>2*(425.32)</f>
        <v>850.64</v>
      </c>
      <c r="I23" s="484">
        <f>12*(1838.48/7)</f>
        <v>3151.68</v>
      </c>
      <c r="J23" s="468">
        <f t="shared" si="0"/>
        <v>3152</v>
      </c>
      <c r="K23" s="482">
        <v>2261</v>
      </c>
    </row>
    <row r="24" spans="3:11" x14ac:dyDescent="0.25">
      <c r="C24" s="533">
        <v>11899</v>
      </c>
      <c r="D24" s="534" t="s">
        <v>533</v>
      </c>
      <c r="E24" s="457">
        <v>5003.4799999999996</v>
      </c>
      <c r="F24" s="458">
        <v>4511.34</v>
      </c>
      <c r="G24" s="458">
        <v>4806.7700000000004</v>
      </c>
      <c r="H24" s="458">
        <f>2*(927.06)</f>
        <v>1854.12</v>
      </c>
      <c r="I24" s="484">
        <f>12*(2301.81/7)</f>
        <v>3945.96</v>
      </c>
      <c r="J24" s="468">
        <f t="shared" si="0"/>
        <v>3946</v>
      </c>
      <c r="K24" s="482">
        <v>5235</v>
      </c>
    </row>
    <row r="25" spans="3:11" x14ac:dyDescent="0.25">
      <c r="C25" s="533"/>
      <c r="D25" s="534"/>
      <c r="E25" s="416"/>
      <c r="F25" s="458"/>
      <c r="G25" s="458"/>
      <c r="H25" s="458"/>
      <c r="I25" s="484"/>
      <c r="J25" s="468"/>
      <c r="K25" s="482"/>
    </row>
    <row r="26" spans="3:11" x14ac:dyDescent="0.25">
      <c r="C26" s="533">
        <v>12105</v>
      </c>
      <c r="D26" s="534" t="s">
        <v>534</v>
      </c>
      <c r="E26" s="416">
        <v>25137.35</v>
      </c>
      <c r="F26" s="458">
        <v>20928.259999999998</v>
      </c>
      <c r="G26" s="458">
        <v>23075.22</v>
      </c>
      <c r="H26" s="458">
        <f>2*(6730.34)</f>
        <v>13460.68</v>
      </c>
      <c r="I26" s="484">
        <f>12*(16912/7)</f>
        <v>28992</v>
      </c>
      <c r="J26" s="468">
        <f t="shared" ref="J26:J50" si="1">ROUND((I26+(I26*$F$92)),0)</f>
        <v>28992</v>
      </c>
      <c r="K26" s="482">
        <v>28992</v>
      </c>
    </row>
    <row r="27" spans="3:11" x14ac:dyDescent="0.25">
      <c r="C27" s="533">
        <v>12106</v>
      </c>
      <c r="D27" s="534" t="s">
        <v>535</v>
      </c>
      <c r="E27" s="416">
        <v>76.5</v>
      </c>
      <c r="F27" s="458">
        <v>45.56</v>
      </c>
      <c r="G27" s="458">
        <v>64.7</v>
      </c>
      <c r="H27" s="458">
        <f>2*(9.86)</f>
        <v>19.72</v>
      </c>
      <c r="I27" s="484">
        <f>12*(422/7)</f>
        <v>723.42857142857144</v>
      </c>
      <c r="J27" s="468">
        <f t="shared" si="1"/>
        <v>723</v>
      </c>
      <c r="K27" s="482">
        <v>723</v>
      </c>
    </row>
    <row r="28" spans="3:11" x14ac:dyDescent="0.25">
      <c r="C28" s="533">
        <v>12108</v>
      </c>
      <c r="D28" s="534" t="s">
        <v>536</v>
      </c>
      <c r="E28" s="416">
        <v>39508.959999999999</v>
      </c>
      <c r="F28" s="458">
        <v>27704.86</v>
      </c>
      <c r="G28" s="458">
        <v>30404.86</v>
      </c>
      <c r="H28" s="458">
        <f>2*(16036.39)</f>
        <v>32072.78</v>
      </c>
      <c r="I28" s="484">
        <f>12*(23774.55/7)</f>
        <v>40756.371428571423</v>
      </c>
      <c r="J28" s="468">
        <f t="shared" si="1"/>
        <v>40756</v>
      </c>
      <c r="K28" s="482">
        <v>57481.68</v>
      </c>
    </row>
    <row r="29" spans="3:11" x14ac:dyDescent="0.25">
      <c r="C29" s="533">
        <v>12109</v>
      </c>
      <c r="D29" s="534" t="s">
        <v>537</v>
      </c>
      <c r="E29" s="416">
        <v>92370.23</v>
      </c>
      <c r="F29" s="458">
        <v>68784.72</v>
      </c>
      <c r="G29" s="458">
        <v>72424.86</v>
      </c>
      <c r="H29" s="458">
        <f>2*(34820.79)</f>
        <v>69641.58</v>
      </c>
      <c r="I29" s="484">
        <f>12*(48391.42/7)</f>
        <v>82956.72</v>
      </c>
      <c r="J29" s="468">
        <f t="shared" si="1"/>
        <v>82957</v>
      </c>
      <c r="K29" s="482">
        <v>103125.6</v>
      </c>
    </row>
    <row r="30" spans="3:11" x14ac:dyDescent="0.25">
      <c r="C30" s="533">
        <v>12110</v>
      </c>
      <c r="D30" s="534" t="s">
        <v>538</v>
      </c>
      <c r="E30" s="416"/>
      <c r="F30" s="458"/>
      <c r="G30" s="458"/>
      <c r="H30" s="458"/>
      <c r="I30" s="484">
        <f>12*(295.28/7)</f>
        <v>506.19428571428568</v>
      </c>
      <c r="J30" s="468">
        <f t="shared" si="1"/>
        <v>506</v>
      </c>
      <c r="K30" s="482"/>
    </row>
    <row r="31" spans="3:11" x14ac:dyDescent="0.25">
      <c r="C31" s="533">
        <v>12111</v>
      </c>
      <c r="D31" s="534" t="s">
        <v>539</v>
      </c>
      <c r="E31" s="416">
        <v>5740.76</v>
      </c>
      <c r="F31" s="458">
        <v>5493.3</v>
      </c>
      <c r="G31" s="458">
        <v>4924.54</v>
      </c>
      <c r="H31" s="458">
        <f>2*(3054.56)</f>
        <v>6109.12</v>
      </c>
      <c r="I31" s="484">
        <f>12*(4577.65/7)</f>
        <v>7847.4</v>
      </c>
      <c r="J31" s="468">
        <f t="shared" si="1"/>
        <v>7847</v>
      </c>
      <c r="K31" s="482">
        <v>7850</v>
      </c>
    </row>
    <row r="32" spans="3:11" x14ac:dyDescent="0.25">
      <c r="C32" s="533">
        <v>12112</v>
      </c>
      <c r="D32" s="534" t="s">
        <v>540</v>
      </c>
      <c r="E32" s="416">
        <v>99171.71</v>
      </c>
      <c r="F32" s="458">
        <v>64590.58</v>
      </c>
      <c r="G32" s="458">
        <v>68087.94</v>
      </c>
      <c r="H32" s="458">
        <f>2*(32275.08)</f>
        <v>64550.16</v>
      </c>
      <c r="I32" s="484">
        <f>12*(44439.13/7)</f>
        <v>76181.365714285712</v>
      </c>
      <c r="J32" s="468">
        <f t="shared" si="1"/>
        <v>76181</v>
      </c>
      <c r="K32" s="482">
        <v>94747.76</v>
      </c>
    </row>
    <row r="33" spans="3:11" x14ac:dyDescent="0.25">
      <c r="C33" s="533">
        <v>12114</v>
      </c>
      <c r="D33" s="534" t="s">
        <v>541</v>
      </c>
      <c r="E33" s="416">
        <v>77927.28</v>
      </c>
      <c r="F33" s="458">
        <v>60825.96</v>
      </c>
      <c r="G33" s="458">
        <v>70165.22</v>
      </c>
      <c r="H33" s="458">
        <f>2*(30922.56)</f>
        <v>61845.120000000003</v>
      </c>
      <c r="I33" s="484">
        <f>12*(40899.39/7)</f>
        <v>70113.239999999991</v>
      </c>
      <c r="J33" s="468">
        <f t="shared" si="1"/>
        <v>70113</v>
      </c>
      <c r="K33" s="482">
        <v>81773</v>
      </c>
    </row>
    <row r="34" spans="3:11" x14ac:dyDescent="0.25">
      <c r="C34" s="533">
        <v>12115</v>
      </c>
      <c r="D34" s="534" t="s">
        <v>542</v>
      </c>
      <c r="E34" s="416">
        <v>125064.47</v>
      </c>
      <c r="F34" s="458">
        <v>93253.36</v>
      </c>
      <c r="G34" s="458">
        <v>106179.68</v>
      </c>
      <c r="H34" s="458">
        <f>2*(37110.16)</f>
        <v>74220.320000000007</v>
      </c>
      <c r="I34" s="484">
        <f>12*(74256.51/7)</f>
        <v>127296.87428571429</v>
      </c>
      <c r="J34" s="468">
        <f t="shared" si="1"/>
        <v>127297</v>
      </c>
      <c r="K34" s="482">
        <v>130505.16</v>
      </c>
    </row>
    <row r="35" spans="3:11" x14ac:dyDescent="0.25">
      <c r="C35" s="533">
        <v>12117</v>
      </c>
      <c r="D35" s="534" t="s">
        <v>543</v>
      </c>
      <c r="E35" s="416">
        <v>25362.35</v>
      </c>
      <c r="F35" s="458">
        <v>31873.66</v>
      </c>
      <c r="G35" s="458">
        <v>26381.31</v>
      </c>
      <c r="H35" s="458">
        <f>2*(13500.35)</f>
        <v>27000.7</v>
      </c>
      <c r="I35" s="484">
        <f>12*(19247.5/7)</f>
        <v>32995.71428571429</v>
      </c>
      <c r="J35" s="468">
        <f t="shared" si="1"/>
        <v>32996</v>
      </c>
      <c r="K35" s="482">
        <v>75096.960000000006</v>
      </c>
    </row>
    <row r="36" spans="3:11" x14ac:dyDescent="0.25">
      <c r="C36" s="533">
        <v>12118</v>
      </c>
      <c r="D36" s="534" t="s">
        <v>544</v>
      </c>
      <c r="E36" s="416">
        <v>78820</v>
      </c>
      <c r="F36" s="458">
        <v>76509.7</v>
      </c>
      <c r="G36" s="458">
        <v>83489.14</v>
      </c>
      <c r="H36" s="458">
        <f>2*(67362)</f>
        <v>134724</v>
      </c>
      <c r="I36" s="484">
        <f>12*(79041.7/7)</f>
        <v>135500.05714285714</v>
      </c>
      <c r="J36" s="468">
        <f t="shared" si="1"/>
        <v>135500</v>
      </c>
      <c r="K36" s="482">
        <v>178224</v>
      </c>
    </row>
    <row r="37" spans="3:11" x14ac:dyDescent="0.25">
      <c r="C37" s="533">
        <v>12119</v>
      </c>
      <c r="D37" s="534" t="s">
        <v>545</v>
      </c>
      <c r="E37" s="416">
        <v>79626.59</v>
      </c>
      <c r="F37" s="458">
        <v>67356.72</v>
      </c>
      <c r="G37" s="458">
        <v>140125.63</v>
      </c>
      <c r="H37" s="458">
        <f>140862.38</f>
        <v>140862.38</v>
      </c>
      <c r="I37" s="484">
        <f>12*(44915.84/7)</f>
        <v>76998.582857142843</v>
      </c>
      <c r="J37" s="468">
        <f t="shared" si="1"/>
        <v>76999</v>
      </c>
      <c r="K37" s="482">
        <v>92130</v>
      </c>
    </row>
    <row r="38" spans="3:11" x14ac:dyDescent="0.25">
      <c r="C38" s="533">
        <v>12120</v>
      </c>
      <c r="D38" s="534" t="s">
        <v>546</v>
      </c>
      <c r="E38" s="416">
        <v>54.05</v>
      </c>
      <c r="F38" s="458">
        <v>56</v>
      </c>
      <c r="G38" s="458">
        <v>56</v>
      </c>
      <c r="H38" s="458">
        <v>0</v>
      </c>
      <c r="I38" s="484"/>
      <c r="J38" s="468">
        <f t="shared" si="1"/>
        <v>0</v>
      </c>
      <c r="K38" s="482">
        <v>148</v>
      </c>
    </row>
    <row r="39" spans="3:11" x14ac:dyDescent="0.25">
      <c r="C39" s="533">
        <v>12210</v>
      </c>
      <c r="D39" s="534" t="s">
        <v>547</v>
      </c>
      <c r="E39" s="416">
        <v>99918.39</v>
      </c>
      <c r="F39" s="458">
        <v>94963.72</v>
      </c>
      <c r="G39" s="458">
        <v>94384.8</v>
      </c>
      <c r="H39" s="458">
        <v>91534.8</v>
      </c>
      <c r="I39" s="484">
        <f>12*(75073.59/7)</f>
        <v>128697.58285714286</v>
      </c>
      <c r="J39" s="468">
        <f t="shared" si="1"/>
        <v>128698</v>
      </c>
      <c r="K39" s="482">
        <v>128698</v>
      </c>
    </row>
    <row r="40" spans="3:11" x14ac:dyDescent="0.25">
      <c r="C40" s="533">
        <v>12211</v>
      </c>
      <c r="D40" s="534" t="s">
        <v>548</v>
      </c>
      <c r="E40" s="416">
        <v>2339.9499999999998</v>
      </c>
      <c r="F40" s="458">
        <v>2114.1799999999998</v>
      </c>
      <c r="G40" s="458">
        <v>2241.4899999999998</v>
      </c>
      <c r="H40" s="458">
        <f>2*(613.2)</f>
        <v>1226.4000000000001</v>
      </c>
      <c r="I40" s="484">
        <f>12*(1527.7/7)</f>
        <v>2618.9142857142861</v>
      </c>
      <c r="J40" s="468">
        <f t="shared" si="1"/>
        <v>2619</v>
      </c>
      <c r="K40" s="482">
        <v>2979</v>
      </c>
    </row>
    <row r="41" spans="3:11" x14ac:dyDescent="0.25">
      <c r="C41" s="533">
        <v>12208</v>
      </c>
      <c r="D41" s="534" t="s">
        <v>549</v>
      </c>
      <c r="E41" s="416">
        <v>515.26</v>
      </c>
      <c r="F41" s="458">
        <v>902.82</v>
      </c>
      <c r="G41" s="458">
        <v>843.6</v>
      </c>
      <c r="H41" s="458">
        <f>2*(316.13)</f>
        <v>632.26</v>
      </c>
      <c r="I41" s="484">
        <f>12*(0/7)</f>
        <v>0</v>
      </c>
      <c r="J41" s="468">
        <f t="shared" si="1"/>
        <v>0</v>
      </c>
      <c r="K41" s="482"/>
    </row>
    <row r="42" spans="3:11" x14ac:dyDescent="0.25">
      <c r="C42" s="533">
        <v>14201</v>
      </c>
      <c r="D42" s="534" t="s">
        <v>550</v>
      </c>
      <c r="E42" s="416">
        <v>297867.71000000002</v>
      </c>
      <c r="F42" s="458">
        <v>260739.51</v>
      </c>
      <c r="G42" s="458">
        <v>260877.29</v>
      </c>
      <c r="H42" s="458">
        <f>2*(97370.69)</f>
        <v>194741.38</v>
      </c>
      <c r="I42" s="484">
        <f>12*(140481.4/7)</f>
        <v>240825.25714285712</v>
      </c>
      <c r="J42" s="468">
        <f t="shared" si="1"/>
        <v>240825</v>
      </c>
      <c r="K42" s="482">
        <v>388606.8</v>
      </c>
    </row>
    <row r="43" spans="3:11" x14ac:dyDescent="0.25">
      <c r="C43" s="533">
        <v>14299</v>
      </c>
      <c r="D43" s="534" t="s">
        <v>551</v>
      </c>
      <c r="E43" s="416">
        <v>4218.97</v>
      </c>
      <c r="F43" s="458">
        <v>4576.3599999999997</v>
      </c>
      <c r="G43" s="458">
        <v>5598.75</v>
      </c>
      <c r="H43" s="458">
        <f>2*(5978.54)</f>
        <v>11957.08</v>
      </c>
      <c r="I43" s="484">
        <f>12*(11210.25/7)</f>
        <v>19217.571428571428</v>
      </c>
      <c r="J43" s="468">
        <f t="shared" si="1"/>
        <v>19218</v>
      </c>
      <c r="K43" s="482">
        <v>19218</v>
      </c>
    </row>
    <row r="44" spans="3:11" x14ac:dyDescent="0.25">
      <c r="C44" s="533"/>
      <c r="D44" s="534"/>
      <c r="E44" s="416"/>
      <c r="F44" s="458"/>
      <c r="G44" s="458"/>
      <c r="H44" s="458"/>
      <c r="I44" s="484"/>
      <c r="J44" s="468">
        <f t="shared" si="1"/>
        <v>0</v>
      </c>
      <c r="K44" s="482"/>
    </row>
    <row r="45" spans="3:11" x14ac:dyDescent="0.25">
      <c r="C45" s="533">
        <v>15302</v>
      </c>
      <c r="D45" s="534" t="s">
        <v>552</v>
      </c>
      <c r="E45" s="416">
        <v>11112.79</v>
      </c>
      <c r="F45" s="458">
        <v>6298.82</v>
      </c>
      <c r="G45" s="458">
        <v>26695.69</v>
      </c>
      <c r="H45" s="458">
        <f>2*(5145.77)</f>
        <v>10291.540000000001</v>
      </c>
      <c r="I45" s="484">
        <f>12*(7967.17/7)</f>
        <v>13658.005714285715</v>
      </c>
      <c r="J45" s="468">
        <f t="shared" si="1"/>
        <v>13658</v>
      </c>
      <c r="K45" s="482">
        <v>13658</v>
      </c>
    </row>
    <row r="46" spans="3:11" x14ac:dyDescent="0.25">
      <c r="C46" s="533">
        <v>15312</v>
      </c>
      <c r="D46" s="534" t="s">
        <v>553</v>
      </c>
      <c r="E46" s="416">
        <v>587.66999999999996</v>
      </c>
      <c r="F46" s="458">
        <v>593.84</v>
      </c>
      <c r="G46" s="458">
        <v>557.94000000000005</v>
      </c>
      <c r="H46" s="458">
        <f>2*(125.62)</f>
        <v>251.24</v>
      </c>
      <c r="I46" s="484">
        <f>12*(222.69/7)</f>
        <v>381.75428571428574</v>
      </c>
      <c r="J46" s="468">
        <f t="shared" si="1"/>
        <v>382</v>
      </c>
      <c r="K46" s="482">
        <v>551</v>
      </c>
    </row>
    <row r="47" spans="3:11" x14ac:dyDescent="0.25">
      <c r="C47" s="533">
        <v>15314</v>
      </c>
      <c r="D47" s="534" t="s">
        <v>554</v>
      </c>
      <c r="E47" s="416">
        <v>9907.5400000000009</v>
      </c>
      <c r="F47" s="458">
        <v>8066.12</v>
      </c>
      <c r="G47" s="458">
        <v>37455.339999999997</v>
      </c>
      <c r="H47" s="458">
        <f>2*(4646.1)</f>
        <v>9292.2000000000007</v>
      </c>
      <c r="I47" s="484">
        <f>12*(8276.19/7)</f>
        <v>14187.754285714287</v>
      </c>
      <c r="J47" s="468">
        <f t="shared" si="1"/>
        <v>14188</v>
      </c>
      <c r="K47" s="482">
        <v>14188</v>
      </c>
    </row>
    <row r="48" spans="3:11" x14ac:dyDescent="0.25">
      <c r="C48" s="533">
        <v>15402</v>
      </c>
      <c r="D48" s="534" t="s">
        <v>555</v>
      </c>
      <c r="E48" s="416">
        <v>3129.03</v>
      </c>
      <c r="F48" s="458">
        <v>539.02</v>
      </c>
      <c r="G48" s="458">
        <v>1211.96</v>
      </c>
      <c r="H48" s="458">
        <f>2*(603)</f>
        <v>1206</v>
      </c>
      <c r="I48" s="484">
        <f>12*(535.34/7)</f>
        <v>917.72571428571439</v>
      </c>
      <c r="J48" s="468">
        <f t="shared" si="1"/>
        <v>918</v>
      </c>
      <c r="K48" s="482">
        <v>918</v>
      </c>
    </row>
    <row r="49" spans="3:11" x14ac:dyDescent="0.25">
      <c r="C49" s="533">
        <v>15703</v>
      </c>
      <c r="D49" s="534" t="s">
        <v>556</v>
      </c>
      <c r="E49" s="416"/>
      <c r="F49" s="458"/>
      <c r="G49" s="458"/>
      <c r="H49" s="458"/>
      <c r="I49" s="484">
        <f>12*(1/7)</f>
        <v>1.7142857142857142</v>
      </c>
      <c r="J49" s="468">
        <f t="shared" si="1"/>
        <v>2</v>
      </c>
      <c r="K49" s="482"/>
    </row>
    <row r="50" spans="3:11" ht="15.75" thickBot="1" x14ac:dyDescent="0.3">
      <c r="C50" s="533">
        <v>15799</v>
      </c>
      <c r="D50" s="534" t="s">
        <v>557</v>
      </c>
      <c r="E50" s="416">
        <v>99839.72</v>
      </c>
      <c r="F50" s="458">
        <v>140970.44</v>
      </c>
      <c r="G50" s="458">
        <v>136830.60999999999</v>
      </c>
      <c r="H50" s="458">
        <v>146937.5</v>
      </c>
      <c r="I50" s="484">
        <f>12*(32566.45/7)</f>
        <v>55828.200000000004</v>
      </c>
      <c r="J50" s="469">
        <f t="shared" si="1"/>
        <v>55828</v>
      </c>
      <c r="K50" s="482">
        <v>244707</v>
      </c>
    </row>
    <row r="51" spans="3:11" ht="15.75" thickBot="1" x14ac:dyDescent="0.3">
      <c r="C51" s="696" t="s">
        <v>366</v>
      </c>
      <c r="D51" s="696"/>
      <c r="E51" s="455">
        <f t="shared" ref="E51:K51" si="2">SUM(E7:E50)</f>
        <v>1595806.9499999997</v>
      </c>
      <c r="F51" s="455">
        <f t="shared" si="2"/>
        <v>1393415.3100000003</v>
      </c>
      <c r="G51" s="456">
        <f t="shared" si="2"/>
        <v>1627847.81</v>
      </c>
      <c r="H51" s="466">
        <f t="shared" si="2"/>
        <v>1457563.8599999999</v>
      </c>
      <c r="I51" s="485">
        <f t="shared" si="2"/>
        <v>1518815.9657142858</v>
      </c>
      <c r="J51" s="470">
        <f t="shared" si="2"/>
        <v>1518816</v>
      </c>
      <c r="K51" s="502">
        <f t="shared" si="2"/>
        <v>2219649.6</v>
      </c>
    </row>
    <row r="52" spans="3:11" x14ac:dyDescent="0.25">
      <c r="C52" s="535"/>
      <c r="D52" s="535"/>
      <c r="E52" s="536"/>
      <c r="F52" s="536"/>
      <c r="G52" s="536"/>
      <c r="H52" s="536"/>
      <c r="I52" s="537"/>
      <c r="J52" s="414"/>
    </row>
    <row r="53" spans="3:11" x14ac:dyDescent="0.25">
      <c r="C53" s="535"/>
      <c r="D53" s="535"/>
      <c r="E53" s="536"/>
      <c r="F53" s="536"/>
      <c r="G53" s="536"/>
      <c r="H53" s="536"/>
      <c r="I53" s="537"/>
      <c r="J53" s="414"/>
    </row>
    <row r="54" spans="3:11" x14ac:dyDescent="0.25">
      <c r="C54" s="535"/>
      <c r="D54" s="535"/>
      <c r="E54" s="536"/>
      <c r="F54" s="536"/>
      <c r="G54" s="536"/>
      <c r="H54" s="536"/>
      <c r="I54" s="537"/>
      <c r="J54" s="414"/>
    </row>
    <row r="55" spans="3:11" x14ac:dyDescent="0.25">
      <c r="C55" s="535"/>
      <c r="D55" s="535"/>
      <c r="E55" s="536"/>
      <c r="F55" s="536"/>
      <c r="G55" s="536"/>
      <c r="H55" s="536"/>
      <c r="I55" s="537"/>
      <c r="J55" s="414"/>
    </row>
    <row r="56" spans="3:11" x14ac:dyDescent="0.25">
      <c r="C56" s="535"/>
      <c r="D56" s="535"/>
      <c r="E56" s="536"/>
      <c r="F56" s="536"/>
      <c r="G56" s="536"/>
      <c r="H56" s="536"/>
      <c r="I56" s="532"/>
      <c r="J56" s="414"/>
    </row>
    <row r="57" spans="3:11" x14ac:dyDescent="0.25">
      <c r="C57" s="531"/>
      <c r="D57" s="531"/>
      <c r="E57" s="531"/>
      <c r="F57" s="531"/>
      <c r="G57" s="531"/>
      <c r="H57" s="531"/>
      <c r="I57" s="486"/>
      <c r="J57" s="531"/>
    </row>
    <row r="58" spans="3:11" x14ac:dyDescent="0.25">
      <c r="C58" s="531"/>
      <c r="D58" s="531"/>
      <c r="E58" s="531"/>
      <c r="F58" s="531"/>
      <c r="G58" s="531"/>
      <c r="H58" s="531"/>
      <c r="I58" s="486"/>
      <c r="J58" s="531"/>
    </row>
    <row r="59" spans="3:11" x14ac:dyDescent="0.25">
      <c r="C59" s="570" t="s">
        <v>558</v>
      </c>
      <c r="D59" s="530"/>
      <c r="E59" s="530"/>
      <c r="F59" s="530"/>
      <c r="G59" s="530"/>
      <c r="H59" s="530"/>
      <c r="I59" s="486"/>
      <c r="J59" s="531"/>
    </row>
    <row r="60" spans="3:11" x14ac:dyDescent="0.25">
      <c r="C60" s="531"/>
      <c r="D60" s="531"/>
      <c r="E60" s="531"/>
      <c r="F60" s="531"/>
      <c r="G60" s="531"/>
      <c r="H60" s="531"/>
      <c r="I60" s="532"/>
      <c r="J60" s="530"/>
    </row>
    <row r="61" spans="3:11" x14ac:dyDescent="0.25">
      <c r="C61" s="531"/>
      <c r="D61" s="410" t="s">
        <v>736</v>
      </c>
      <c r="E61" s="531"/>
      <c r="F61" s="531"/>
      <c r="G61" s="531"/>
      <c r="H61" s="538" t="s">
        <v>559</v>
      </c>
      <c r="I61" s="539" t="s">
        <v>560</v>
      </c>
      <c r="J61" s="530" t="s">
        <v>366</v>
      </c>
    </row>
    <row r="62" spans="3:11" x14ac:dyDescent="0.25">
      <c r="C62" s="415">
        <v>16207</v>
      </c>
      <c r="D62" s="416" t="s">
        <v>735</v>
      </c>
      <c r="E62" s="540"/>
      <c r="F62" s="540"/>
      <c r="G62" s="541"/>
      <c r="H62" s="542">
        <v>58204.72</v>
      </c>
      <c r="I62" s="543">
        <f>+H62*12</f>
        <v>698456.64</v>
      </c>
      <c r="J62" s="432">
        <f>+I62</f>
        <v>698456.64</v>
      </c>
      <c r="K62" s="57"/>
    </row>
    <row r="63" spans="3:11" x14ac:dyDescent="0.25">
      <c r="C63" s="417"/>
      <c r="D63" s="418" t="s">
        <v>561</v>
      </c>
      <c r="E63" s="419"/>
      <c r="F63" s="419"/>
      <c r="G63" s="419"/>
      <c r="H63" s="544"/>
      <c r="I63" s="543">
        <f>+H64*12</f>
        <v>0</v>
      </c>
      <c r="J63" s="432">
        <f>+I63</f>
        <v>0</v>
      </c>
      <c r="K63" s="57"/>
    </row>
    <row r="64" spans="3:11" x14ac:dyDescent="0.25">
      <c r="C64" s="415">
        <v>22201</v>
      </c>
      <c r="D64" s="416" t="s">
        <v>737</v>
      </c>
      <c r="E64" s="540"/>
      <c r="F64" s="540"/>
      <c r="G64" s="541"/>
      <c r="H64" s="542"/>
      <c r="I64" s="543"/>
      <c r="J64" s="545">
        <v>210033.33</v>
      </c>
    </row>
    <row r="65" spans="3:10" x14ac:dyDescent="0.25">
      <c r="C65" s="415">
        <v>22202</v>
      </c>
      <c r="D65" s="416" t="s">
        <v>616</v>
      </c>
      <c r="E65" s="540"/>
      <c r="F65" s="540"/>
      <c r="G65" s="541"/>
      <c r="H65" s="546"/>
      <c r="I65" s="543"/>
      <c r="J65" s="545">
        <v>89004</v>
      </c>
    </row>
    <row r="66" spans="3:10" x14ac:dyDescent="0.25">
      <c r="C66" s="87"/>
      <c r="D66" s="410" t="s">
        <v>562</v>
      </c>
      <c r="E66" s="531"/>
      <c r="F66" s="531"/>
      <c r="G66" s="531"/>
      <c r="H66" s="424"/>
      <c r="I66" s="543"/>
      <c r="J66" s="432"/>
    </row>
    <row r="67" spans="3:10" x14ac:dyDescent="0.25">
      <c r="C67" s="415">
        <v>22303</v>
      </c>
      <c r="D67" s="696" t="s">
        <v>563</v>
      </c>
      <c r="E67" s="696"/>
      <c r="F67" s="696"/>
      <c r="G67" s="696"/>
      <c r="H67" s="545"/>
      <c r="I67" s="547"/>
      <c r="J67" s="443"/>
    </row>
    <row r="68" spans="3:10" x14ac:dyDescent="0.25">
      <c r="C68" s="87"/>
      <c r="D68" s="410" t="s">
        <v>564</v>
      </c>
      <c r="E68" s="531"/>
      <c r="F68" s="531"/>
      <c r="G68" s="531"/>
      <c r="H68" s="424"/>
      <c r="I68" s="543"/>
      <c r="J68" s="432"/>
    </row>
    <row r="69" spans="3:10" x14ac:dyDescent="0.25">
      <c r="C69" s="415">
        <v>22403</v>
      </c>
      <c r="D69" s="696" t="s">
        <v>565</v>
      </c>
      <c r="E69" s="696"/>
      <c r="F69" s="696"/>
      <c r="G69" s="696"/>
      <c r="H69" s="545"/>
      <c r="I69" s="532"/>
      <c r="J69" s="531"/>
    </row>
    <row r="70" spans="3:10" ht="15.75" thickBot="1" x14ac:dyDescent="0.3">
      <c r="C70" s="531"/>
      <c r="D70" s="410" t="s">
        <v>566</v>
      </c>
      <c r="E70" s="531"/>
      <c r="F70" s="531"/>
      <c r="G70" s="531"/>
      <c r="H70" s="531"/>
      <c r="I70" s="548"/>
      <c r="J70" s="420"/>
    </row>
    <row r="71" spans="3:10" ht="15.75" thickBot="1" x14ac:dyDescent="0.3">
      <c r="C71" s="533">
        <v>31304</v>
      </c>
      <c r="D71" s="696" t="s">
        <v>567</v>
      </c>
      <c r="E71" s="696"/>
      <c r="F71" s="696"/>
      <c r="G71" s="696"/>
      <c r="H71" s="549"/>
      <c r="I71" s="550" t="s">
        <v>568</v>
      </c>
      <c r="J71" s="421">
        <f>SUM(J51:J70)</f>
        <v>2516309.9700000002</v>
      </c>
    </row>
    <row r="72" spans="3:10" x14ac:dyDescent="0.25">
      <c r="C72" s="531"/>
      <c r="D72" s="531"/>
      <c r="E72" s="531"/>
      <c r="F72" s="531"/>
      <c r="G72" s="531"/>
      <c r="H72" s="531"/>
      <c r="I72" s="551" t="s">
        <v>569</v>
      </c>
      <c r="J72" s="422">
        <f>+J71</f>
        <v>2516309.9700000002</v>
      </c>
    </row>
    <row r="73" spans="3:10" x14ac:dyDescent="0.25">
      <c r="C73" s="531"/>
      <c r="D73" s="531"/>
      <c r="E73" s="531"/>
      <c r="F73" s="531"/>
      <c r="G73" s="531"/>
      <c r="H73" s="531"/>
      <c r="I73" s="487" t="s">
        <v>649</v>
      </c>
      <c r="J73" s="480"/>
    </row>
    <row r="74" spans="3:10" ht="15.75" thickBot="1" x14ac:dyDescent="0.3">
      <c r="C74" s="531"/>
      <c r="D74" s="531"/>
      <c r="E74" s="531"/>
      <c r="F74" s="531"/>
      <c r="G74" s="531"/>
      <c r="H74" s="531"/>
      <c r="I74" s="552" t="s">
        <v>570</v>
      </c>
      <c r="J74" s="480">
        <v>201759.22</v>
      </c>
    </row>
    <row r="75" spans="3:10" ht="15.75" thickBot="1" x14ac:dyDescent="0.3">
      <c r="C75" s="531"/>
      <c r="D75" s="531"/>
      <c r="E75" s="531"/>
      <c r="F75" s="531"/>
      <c r="G75" s="531"/>
      <c r="H75" s="553"/>
      <c r="I75" s="554" t="s">
        <v>571</v>
      </c>
      <c r="J75" s="423">
        <f>+J72+J73+J74</f>
        <v>2718069.1900000004</v>
      </c>
    </row>
    <row r="76" spans="3:10" x14ac:dyDescent="0.25">
      <c r="C76" s="531"/>
      <c r="D76" s="531"/>
      <c r="E76" s="424"/>
      <c r="F76" s="531"/>
      <c r="G76" s="531"/>
      <c r="H76" s="555"/>
      <c r="I76" s="552"/>
      <c r="J76" s="425"/>
    </row>
    <row r="77" spans="3:10" ht="15.75" thickBot="1" x14ac:dyDescent="0.3">
      <c r="C77" s="531"/>
      <c r="D77" s="531"/>
      <c r="E77" s="424"/>
      <c r="F77" s="531"/>
      <c r="G77" s="531"/>
      <c r="H77" s="556"/>
      <c r="I77" s="552"/>
      <c r="J77" s="425"/>
    </row>
    <row r="78" spans="3:10" ht="15.75" thickBot="1" x14ac:dyDescent="0.3">
      <c r="C78" s="531" t="s">
        <v>572</v>
      </c>
      <c r="D78" s="531"/>
      <c r="E78" s="557"/>
      <c r="F78" s="426" t="s">
        <v>573</v>
      </c>
      <c r="G78" s="426"/>
      <c r="H78" s="426"/>
      <c r="I78" s="488"/>
      <c r="J78" s="558"/>
    </row>
    <row r="79" spans="3:10" ht="15.75" thickBot="1" x14ac:dyDescent="0.3">
      <c r="C79" s="531"/>
      <c r="D79" s="531"/>
      <c r="E79" s="559"/>
      <c r="F79" s="427" t="s">
        <v>574</v>
      </c>
      <c r="G79" s="427"/>
      <c r="H79" s="427"/>
      <c r="I79" s="489"/>
      <c r="J79" s="560"/>
    </row>
    <row r="80" spans="3:10" ht="15.75" thickBot="1" x14ac:dyDescent="0.3">
      <c r="C80" s="531"/>
      <c r="D80" s="531"/>
      <c r="E80" s="559"/>
      <c r="F80" s="428" t="s">
        <v>575</v>
      </c>
      <c r="G80" s="429" t="s">
        <v>576</v>
      </c>
      <c r="H80" s="429" t="s">
        <v>577</v>
      </c>
      <c r="I80" s="489" t="s">
        <v>578</v>
      </c>
      <c r="J80" s="560"/>
    </row>
    <row r="81" spans="3:10" ht="15.75" thickBot="1" x14ac:dyDescent="0.3">
      <c r="C81" s="531"/>
      <c r="D81" s="531"/>
      <c r="E81" s="559"/>
      <c r="F81" s="430">
        <v>-2</v>
      </c>
      <c r="G81" s="431">
        <v>2016</v>
      </c>
      <c r="H81" s="432">
        <f>E51</f>
        <v>1595806.9499999997</v>
      </c>
      <c r="I81" s="490">
        <f>+H81*F81</f>
        <v>-3191613.8999999994</v>
      </c>
      <c r="J81" s="560"/>
    </row>
    <row r="82" spans="3:10" ht="15.75" thickBot="1" x14ac:dyDescent="0.3">
      <c r="C82" s="531"/>
      <c r="D82" s="531"/>
      <c r="E82" s="561"/>
      <c r="F82" s="433">
        <v>-1</v>
      </c>
      <c r="G82" s="411">
        <v>2017</v>
      </c>
      <c r="H82" s="432">
        <f>F51</f>
        <v>1393415.3100000003</v>
      </c>
      <c r="I82" s="490">
        <f>+H82*F82</f>
        <v>-1393415.3100000003</v>
      </c>
      <c r="J82" s="560"/>
    </row>
    <row r="83" spans="3:10" ht="15.75" thickBot="1" x14ac:dyDescent="0.3">
      <c r="C83" s="531"/>
      <c r="D83" s="531"/>
      <c r="E83" s="561"/>
      <c r="F83" s="433">
        <v>0</v>
      </c>
      <c r="G83" s="411">
        <v>2018</v>
      </c>
      <c r="H83" s="432">
        <f>G51</f>
        <v>1627847.81</v>
      </c>
      <c r="I83" s="490">
        <f>+H83*F83</f>
        <v>0</v>
      </c>
      <c r="J83" s="560"/>
    </row>
    <row r="84" spans="3:10" ht="15.75" thickBot="1" x14ac:dyDescent="0.3">
      <c r="C84" s="531"/>
      <c r="D84" s="531"/>
      <c r="E84" s="561"/>
      <c r="F84" s="433">
        <v>1</v>
      </c>
      <c r="G84" s="411">
        <v>2019</v>
      </c>
      <c r="H84" s="432">
        <f>H51</f>
        <v>1457563.8599999999</v>
      </c>
      <c r="I84" s="490">
        <f>+H84*F84</f>
        <v>1457563.8599999999</v>
      </c>
      <c r="J84" s="560"/>
    </row>
    <row r="85" spans="3:10" ht="15.75" thickBot="1" x14ac:dyDescent="0.3">
      <c r="C85" s="531"/>
      <c r="D85" s="531"/>
      <c r="E85" s="561"/>
      <c r="F85" s="434">
        <v>2</v>
      </c>
      <c r="G85" s="435">
        <v>2020</v>
      </c>
      <c r="H85" s="436">
        <f>+I51</f>
        <v>1518815.9657142858</v>
      </c>
      <c r="I85" s="490">
        <f>+H85*F85</f>
        <v>3037631.9314285717</v>
      </c>
      <c r="J85" s="560"/>
    </row>
    <row r="86" spans="3:10" ht="15.75" thickBot="1" x14ac:dyDescent="0.3">
      <c r="C86" s="531"/>
      <c r="D86" s="531"/>
      <c r="E86" s="561"/>
      <c r="F86" s="437"/>
      <c r="G86" s="438"/>
      <c r="H86" s="439"/>
      <c r="I86" s="491"/>
      <c r="J86" s="560"/>
    </row>
    <row r="87" spans="3:10" ht="15.75" thickBot="1" x14ac:dyDescent="0.3">
      <c r="C87" s="531"/>
      <c r="D87" s="531"/>
      <c r="E87" s="561"/>
      <c r="F87" s="440"/>
      <c r="G87" s="441"/>
      <c r="H87" s="442">
        <f>SUM(H81:H85)</f>
        <v>7593449.8957142858</v>
      </c>
      <c r="I87" s="492">
        <f>SUM(I81:I85)</f>
        <v>-89833.418571428396</v>
      </c>
      <c r="J87" s="560"/>
    </row>
    <row r="88" spans="3:10" x14ac:dyDescent="0.25">
      <c r="C88" s="531"/>
      <c r="D88" s="531"/>
      <c r="E88" s="561"/>
      <c r="F88" s="531"/>
      <c r="G88" s="531"/>
      <c r="H88" s="531"/>
      <c r="I88" s="532"/>
      <c r="J88" s="560"/>
    </row>
    <row r="89" spans="3:10" x14ac:dyDescent="0.25">
      <c r="C89" s="531"/>
      <c r="D89" s="531"/>
      <c r="E89" s="561"/>
      <c r="F89" s="531"/>
      <c r="G89" s="530" t="s">
        <v>579</v>
      </c>
      <c r="H89" s="443">
        <f>+H87/5</f>
        <v>1518689.9791428572</v>
      </c>
      <c r="I89" s="532"/>
      <c r="J89" s="560"/>
    </row>
    <row r="90" spans="3:10" x14ac:dyDescent="0.25">
      <c r="C90" s="531"/>
      <c r="D90" s="531"/>
      <c r="E90" s="561"/>
      <c r="F90" s="531"/>
      <c r="G90" s="530" t="s">
        <v>580</v>
      </c>
      <c r="H90" s="443">
        <f>+I87/10</f>
        <v>-8983.3418571428392</v>
      </c>
      <c r="I90" s="532"/>
      <c r="J90" s="560"/>
    </row>
    <row r="91" spans="3:10" x14ac:dyDescent="0.25">
      <c r="C91" s="531"/>
      <c r="D91" s="531"/>
      <c r="E91" s="561"/>
      <c r="F91" s="531"/>
      <c r="G91" s="410" t="s">
        <v>618</v>
      </c>
      <c r="H91" s="410"/>
      <c r="I91" s="532"/>
      <c r="J91" s="560"/>
    </row>
    <row r="92" spans="3:10" x14ac:dyDescent="0.25">
      <c r="C92" s="531"/>
      <c r="D92" s="531"/>
      <c r="E92" s="561"/>
      <c r="F92" s="531"/>
      <c r="G92" s="530" t="s">
        <v>619</v>
      </c>
      <c r="H92" s="443">
        <f>ROUND((H89+H90*3),0)</f>
        <v>1491740</v>
      </c>
      <c r="I92" s="532"/>
      <c r="J92" s="560"/>
    </row>
    <row r="93" spans="3:10" x14ac:dyDescent="0.25">
      <c r="C93" s="531"/>
      <c r="D93" s="531"/>
      <c r="E93" s="561"/>
      <c r="F93" s="531"/>
      <c r="G93" s="530" t="s">
        <v>581</v>
      </c>
      <c r="H93" s="444">
        <f>+(H92-H85)/H85</f>
        <v>-1.7827022052373711E-2</v>
      </c>
      <c r="I93" s="532"/>
      <c r="J93" s="560"/>
    </row>
    <row r="94" spans="3:10" ht="15.75" thickBot="1" x14ac:dyDescent="0.3">
      <c r="C94" s="531"/>
      <c r="D94" s="531"/>
      <c r="E94" s="562"/>
      <c r="F94" s="563"/>
      <c r="G94" s="563"/>
      <c r="H94" s="563"/>
      <c r="I94" s="564"/>
      <c r="J94" s="565"/>
    </row>
  </sheetData>
  <mergeCells count="6">
    <mergeCell ref="D71:G71"/>
    <mergeCell ref="C2:K2"/>
    <mergeCell ref="C3:J3"/>
    <mergeCell ref="C51:D51"/>
    <mergeCell ref="D67:G67"/>
    <mergeCell ref="D69:G69"/>
  </mergeCells>
  <pageMargins left="0.63" right="0.3" top="1.68" bottom="0.61" header="0.3" footer="0.3"/>
  <pageSetup scale="71" fitToHeight="0" orientation="portrait" copies="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Estruct. Presupuestaria</vt:lpstr>
      <vt:lpstr>Ingresos</vt:lpstr>
      <vt:lpstr>Hoja1</vt:lpstr>
      <vt:lpstr>Ingresos F.F.</vt:lpstr>
      <vt:lpstr>Hoja7</vt:lpstr>
      <vt:lpstr>Hoja6</vt:lpstr>
      <vt:lpstr>Saldo en Bancos </vt:lpstr>
      <vt:lpstr>Egresos F. F.</vt:lpstr>
      <vt:lpstr>Egresos</vt:lpstr>
      <vt:lpstr>Hoja5</vt:lpstr>
      <vt:lpstr>Endeudamiento </vt:lpstr>
      <vt:lpstr>Remuneraciones</vt:lpstr>
      <vt:lpstr>Proy. Inv. Soc.</vt:lpstr>
      <vt:lpstr>Hoja2</vt:lpstr>
      <vt:lpstr>Hoja4</vt:lpstr>
      <vt:lpstr>Proy. Inv. Econ.</vt:lpstr>
      <vt:lpstr>Centro Respons.</vt:lpstr>
      <vt:lpstr>CONSOLIDADO</vt:lpstr>
      <vt:lpstr>RESUMEN 1</vt:lpstr>
      <vt:lpstr>RESUMEN 2</vt:lpstr>
      <vt:lpstr>RESUMEN 3</vt:lpstr>
      <vt:lpstr>RESUMEN 5</vt:lpstr>
      <vt:lpstr>RESUMEN 4</vt:lpstr>
      <vt:lpstr>proyeccion 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2023-02-12T23:38:07Z</cp:lastPrinted>
  <dcterms:created xsi:type="dcterms:W3CDTF">2014-12-02T16:26:19Z</dcterms:created>
  <dcterms:modified xsi:type="dcterms:W3CDTF">2023-02-14T20:37:44Z</dcterms:modified>
</cp:coreProperties>
</file>