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cilia.Medina\Documentos\Oficina de  Info  y  Respuesta\INFORMACION OFICIOSA\23 ESTADISTICAS\SEGUROS AÑO 2021\"/>
    </mc:Choice>
  </mc:AlternateContent>
  <bookViews>
    <workbookView xWindow="0" yWindow="0" windowWidth="20490" windowHeight="7155" tabRatio="601" firstSheet="2" activeTab="5"/>
  </bookViews>
  <sheets>
    <sheet name="1. RESUMEN DE PAGADOS " sheetId="4" r:id="rId1"/>
    <sheet name="2. COMPR DEV 30%" sheetId="16" r:id="rId2"/>
    <sheet name="3. COMP VR" sheetId="17" r:id="rId3"/>
    <sheet name="4. COMP VP" sheetId="18" r:id="rId4"/>
    <sheet name="5.ESTADÍSTICAS POR REPORTE" sheetId="26" r:id="rId5"/>
    <sheet name="6.ESTADÍSCAS X REPORTE ACUMU" sheetId="29" r:id="rId6"/>
    <sheet name="7. REPORTADOS F+ DETALLE-SEG" sheetId="11" r:id="rId7"/>
    <sheet name="Total estadísticas de junio2021" sheetId="20" r:id="rId8"/>
    <sheet name="Hoja1" sheetId="30" r:id="rId9"/>
  </sheets>
  <definedNames>
    <definedName name="_xlnm._FilterDatabase" localSheetId="7" hidden="1">'Total estadísticas de junio2021'!$F$1:$F$51</definedName>
  </definedNames>
  <calcPr calcId="152511"/>
</workbook>
</file>

<file path=xl/calcChain.xml><?xml version="1.0" encoding="utf-8"?>
<calcChain xmlns="http://schemas.openxmlformats.org/spreadsheetml/2006/main">
  <c r="F18" i="18" l="1"/>
  <c r="E18" i="18"/>
  <c r="D18" i="18"/>
  <c r="C18" i="18"/>
  <c r="E15" i="17" l="1"/>
  <c r="D15" i="17"/>
  <c r="C15" i="17"/>
  <c r="B15" i="17"/>
  <c r="E15" i="16"/>
  <c r="D15" i="16"/>
  <c r="C15" i="16"/>
  <c r="B15" i="16"/>
  <c r="D14" i="4" l="1"/>
  <c r="C14" i="4"/>
  <c r="F14" i="4"/>
  <c r="E14" i="4"/>
  <c r="B14" i="4"/>
  <c r="D15" i="4"/>
  <c r="C15" i="4" l="1"/>
  <c r="B15" i="4"/>
  <c r="F15" i="4"/>
  <c r="E15" i="4"/>
  <c r="B16" i="4" l="1"/>
  <c r="D16" i="4"/>
  <c r="F16" i="4"/>
  <c r="E16" i="4"/>
  <c r="C16" i="4"/>
  <c r="F13" i="4" l="1"/>
  <c r="E13" i="4"/>
  <c r="D13" i="4"/>
  <c r="C13" i="4"/>
  <c r="F12" i="4"/>
  <c r="E12" i="4"/>
  <c r="D12" i="4"/>
  <c r="C12" i="4"/>
  <c r="F11" i="4"/>
  <c r="E11" i="4"/>
  <c r="D11" i="4"/>
  <c r="C11" i="4"/>
  <c r="C10" i="26" l="1"/>
  <c r="F17" i="18" l="1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E14" i="17" l="1"/>
  <c r="D14" i="17"/>
  <c r="C14" i="17"/>
  <c r="B14" i="17"/>
  <c r="E13" i="17"/>
  <c r="D13" i="17"/>
  <c r="C13" i="17"/>
  <c r="B13" i="17"/>
  <c r="E12" i="17"/>
  <c r="D12" i="17"/>
  <c r="C12" i="17"/>
  <c r="B12" i="17"/>
  <c r="E11" i="17"/>
  <c r="D11" i="17"/>
  <c r="C11" i="17"/>
  <c r="B11" i="17"/>
  <c r="E10" i="17"/>
  <c r="D10" i="17"/>
  <c r="C10" i="17"/>
  <c r="B10" i="17"/>
  <c r="E9" i="17"/>
  <c r="D9" i="17"/>
  <c r="C9" i="17"/>
  <c r="B9" i="17"/>
  <c r="N16" i="4" l="1"/>
  <c r="H14" i="11" l="1"/>
  <c r="H14" i="16"/>
  <c r="E13" i="16" l="1"/>
  <c r="D13" i="16"/>
  <c r="C13" i="16"/>
  <c r="J15" i="4" l="1"/>
  <c r="M15" i="4"/>
  <c r="H15" i="4"/>
  <c r="G15" i="4"/>
  <c r="C12" i="16"/>
  <c r="E12" i="16"/>
  <c r="D12" i="16"/>
  <c r="N14" i="4"/>
  <c r="J14" i="4"/>
  <c r="H14" i="4"/>
  <c r="G14" i="4"/>
  <c r="I14" i="4" l="1"/>
  <c r="M14" i="4"/>
  <c r="O14" i="4"/>
  <c r="E11" i="16" l="1"/>
  <c r="C11" i="16"/>
  <c r="C10" i="16"/>
  <c r="I13" i="4"/>
  <c r="M13" i="4"/>
  <c r="J13" i="4"/>
  <c r="H13" i="4"/>
  <c r="D11" i="16"/>
  <c r="N13" i="4"/>
  <c r="G13" i="4"/>
  <c r="P13" i="4" s="1"/>
  <c r="Q13" i="4" s="1"/>
  <c r="R14" i="4" s="1"/>
  <c r="H12" i="4"/>
  <c r="G12" i="4"/>
  <c r="P12" i="4" s="1"/>
  <c r="Q12" i="4" s="1"/>
  <c r="J12" i="4"/>
  <c r="M12" i="4"/>
  <c r="N12" i="4"/>
  <c r="N23" i="4"/>
  <c r="C24" i="18"/>
  <c r="E10" i="16"/>
  <c r="B10" i="16"/>
  <c r="D10" i="16"/>
  <c r="H11" i="4"/>
  <c r="H23" i="4" s="1"/>
  <c r="O11" i="4"/>
  <c r="O23" i="4"/>
  <c r="G11" i="4"/>
  <c r="G23" i="4" s="1"/>
  <c r="M11" i="4"/>
  <c r="M23" i="4" s="1"/>
  <c r="I11" i="4"/>
  <c r="I23" i="4" s="1"/>
  <c r="J11" i="4"/>
  <c r="N11" i="4"/>
  <c r="F24" i="18"/>
  <c r="D24" i="18"/>
  <c r="D21" i="17"/>
  <c r="C21" i="17"/>
  <c r="B21" i="17"/>
  <c r="E21" i="17"/>
  <c r="E9" i="16"/>
  <c r="D9" i="16"/>
  <c r="D21" i="16" s="1"/>
  <c r="C9" i="16"/>
  <c r="C21" i="16" s="1"/>
  <c r="B9" i="16"/>
  <c r="P22" i="4"/>
  <c r="Q22" i="4"/>
  <c r="P21" i="4"/>
  <c r="P20" i="4"/>
  <c r="Q20" i="4" s="1"/>
  <c r="P19" i="4"/>
  <c r="P18" i="4"/>
  <c r="Q18" i="4"/>
  <c r="P17" i="4"/>
  <c r="P16" i="4"/>
  <c r="P15" i="4"/>
  <c r="Q15" i="4" s="1"/>
  <c r="P14" i="4"/>
  <c r="Q14" i="4" s="1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K20" i="18"/>
  <c r="J20" i="18"/>
  <c r="I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J16" i="18"/>
  <c r="I16" i="18"/>
  <c r="L14" i="18"/>
  <c r="K14" i="18"/>
  <c r="J14" i="18"/>
  <c r="I14" i="18"/>
  <c r="L13" i="18"/>
  <c r="K13" i="18"/>
  <c r="K24" i="18" s="1"/>
  <c r="J13" i="18"/>
  <c r="I13" i="18"/>
  <c r="L12" i="18"/>
  <c r="L24" i="18" s="1"/>
  <c r="K12" i="18"/>
  <c r="J12" i="18"/>
  <c r="J24" i="18" s="1"/>
  <c r="I12" i="18"/>
  <c r="I24" i="18" s="1"/>
  <c r="K20" i="17"/>
  <c r="J20" i="17"/>
  <c r="I20" i="17"/>
  <c r="H20" i="17"/>
  <c r="K19" i="17"/>
  <c r="J19" i="17"/>
  <c r="I19" i="17"/>
  <c r="H19" i="17"/>
  <c r="K18" i="17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I14" i="17"/>
  <c r="H14" i="17"/>
  <c r="K13" i="17"/>
  <c r="J13" i="17"/>
  <c r="I13" i="17"/>
  <c r="H13" i="17"/>
  <c r="K11" i="17"/>
  <c r="J11" i="17"/>
  <c r="I11" i="17"/>
  <c r="H11" i="17"/>
  <c r="K10" i="17"/>
  <c r="J10" i="17"/>
  <c r="J21" i="17" s="1"/>
  <c r="I10" i="17"/>
  <c r="H10" i="17"/>
  <c r="K9" i="17"/>
  <c r="K21" i="17" s="1"/>
  <c r="J9" i="17"/>
  <c r="I9" i="17"/>
  <c r="I21" i="17" s="1"/>
  <c r="H9" i="17"/>
  <c r="H21" i="17" s="1"/>
  <c r="K20" i="16"/>
  <c r="J20" i="16"/>
  <c r="I20" i="16"/>
  <c r="H20" i="16"/>
  <c r="K19" i="16"/>
  <c r="J19" i="16"/>
  <c r="I19" i="16"/>
  <c r="H19" i="16"/>
  <c r="K18" i="16"/>
  <c r="J18" i="16"/>
  <c r="I18" i="16"/>
  <c r="H18" i="16"/>
  <c r="K17" i="16"/>
  <c r="J17" i="16"/>
  <c r="I17" i="16"/>
  <c r="H17" i="16"/>
  <c r="K16" i="16"/>
  <c r="J16" i="16"/>
  <c r="I16" i="16"/>
  <c r="H16" i="16"/>
  <c r="K14" i="16"/>
  <c r="J14" i="16"/>
  <c r="I14" i="16"/>
  <c r="K13" i="16"/>
  <c r="J13" i="16"/>
  <c r="I13" i="16"/>
  <c r="H13" i="16"/>
  <c r="H21" i="16" s="1"/>
  <c r="K11" i="16"/>
  <c r="J11" i="16"/>
  <c r="I11" i="16"/>
  <c r="H11" i="16"/>
  <c r="K10" i="16"/>
  <c r="J10" i="16"/>
  <c r="I10" i="16"/>
  <c r="H10" i="16"/>
  <c r="K9" i="16"/>
  <c r="J9" i="16"/>
  <c r="J21" i="16" s="1"/>
  <c r="I9" i="16"/>
  <c r="I21" i="16"/>
  <c r="H9" i="16"/>
  <c r="P33" i="29"/>
  <c r="N33" i="29"/>
  <c r="K33" i="29"/>
  <c r="H28" i="29"/>
  <c r="N26" i="29"/>
  <c r="E25" i="29"/>
  <c r="D25" i="29"/>
  <c r="P24" i="29"/>
  <c r="N24" i="29"/>
  <c r="C24" i="29"/>
  <c r="H18" i="29"/>
  <c r="C18" i="29"/>
  <c r="C17" i="29"/>
  <c r="C25" i="29" s="1"/>
  <c r="M6" i="29" s="1"/>
  <c r="C16" i="29"/>
  <c r="C10" i="29"/>
  <c r="I8" i="29"/>
  <c r="M22" i="11"/>
  <c r="L22" i="11"/>
  <c r="K22" i="11"/>
  <c r="J22" i="11"/>
  <c r="I22" i="11"/>
  <c r="G22" i="11"/>
  <c r="F22" i="11"/>
  <c r="E22" i="11"/>
  <c r="D22" i="11"/>
  <c r="C22" i="11"/>
  <c r="O21" i="11"/>
  <c r="H21" i="11"/>
  <c r="O20" i="11"/>
  <c r="O19" i="11"/>
  <c r="H19" i="11"/>
  <c r="O18" i="11"/>
  <c r="O17" i="11"/>
  <c r="H17" i="11"/>
  <c r="O16" i="11"/>
  <c r="H16" i="11"/>
  <c r="O15" i="11"/>
  <c r="H15" i="11"/>
  <c r="O14" i="11"/>
  <c r="N14" i="11"/>
  <c r="O13" i="11"/>
  <c r="N13" i="11"/>
  <c r="P13" i="11"/>
  <c r="H13" i="11"/>
  <c r="O12" i="11"/>
  <c r="N12" i="11"/>
  <c r="P12" i="11" s="1"/>
  <c r="H12" i="11"/>
  <c r="O11" i="11"/>
  <c r="N11" i="11"/>
  <c r="P11" i="11" s="1"/>
  <c r="H11" i="11"/>
  <c r="O10" i="11"/>
  <c r="N10" i="11"/>
  <c r="P10" i="11"/>
  <c r="H10" i="11"/>
  <c r="E24" i="18"/>
  <c r="F23" i="4"/>
  <c r="E23" i="4"/>
  <c r="D23" i="4"/>
  <c r="E21" i="16"/>
  <c r="C23" i="4"/>
  <c r="Q19" i="4"/>
  <c r="I8" i="26"/>
  <c r="C11" i="26"/>
  <c r="C12" i="26"/>
  <c r="C13" i="26"/>
  <c r="C14" i="26"/>
  <c r="C25" i="26" s="1"/>
  <c r="M6" i="26" s="1"/>
  <c r="C15" i="26"/>
  <c r="C16" i="26"/>
  <c r="C17" i="26"/>
  <c r="C18" i="26"/>
  <c r="H18" i="26"/>
  <c r="C19" i="26"/>
  <c r="C20" i="26"/>
  <c r="C21" i="26"/>
  <c r="C22" i="26"/>
  <c r="C23" i="26"/>
  <c r="C24" i="26"/>
  <c r="N24" i="26"/>
  <c r="P24" i="26"/>
  <c r="D25" i="26"/>
  <c r="E25" i="26"/>
  <c r="N26" i="26"/>
  <c r="P26" i="26"/>
  <c r="H28" i="26"/>
  <c r="K33" i="26"/>
  <c r="N33" i="26"/>
  <c r="P33" i="26"/>
  <c r="K21" i="16"/>
  <c r="Q16" i="4"/>
  <c r="Q17" i="4"/>
  <c r="L23" i="4"/>
  <c r="B23" i="4"/>
  <c r="K23" i="4"/>
  <c r="J23" i="4"/>
  <c r="Q21" i="4"/>
  <c r="B21" i="16"/>
  <c r="N22" i="11"/>
  <c r="P14" i="11" l="1"/>
  <c r="H22" i="11"/>
  <c r="O22" i="11"/>
  <c r="P11" i="4"/>
  <c r="Q11" i="4" s="1"/>
  <c r="Q23" i="4" s="1"/>
  <c r="P23" i="4"/>
  <c r="P22" i="11" l="1"/>
  <c r="Q24" i="4"/>
</calcChain>
</file>

<file path=xl/comments1.xml><?xml version="1.0" encoding="utf-8"?>
<comments xmlns="http://schemas.openxmlformats.org/spreadsheetml/2006/main">
  <authors>
    <author>Mario Navas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Mario Navas:</t>
        </r>
        <r>
          <rPr>
            <sz val="9"/>
            <color indexed="81"/>
            <rFont val="Tahoma"/>
            <charset val="1"/>
          </rPr>
          <t xml:space="preserve">
FALLECIDOS 2021 PAGADOS EN 2021
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Mario Navas:</t>
        </r>
        <r>
          <rPr>
            <sz val="9"/>
            <color indexed="81"/>
            <rFont val="Tahoma"/>
            <charset val="1"/>
          </rPr>
          <t xml:space="preserve">
FALLECIDOS EN OTROS AÑOS PAGADOS EN 2021</t>
        </r>
      </text>
    </comment>
  </commentList>
</comments>
</file>

<file path=xl/sharedStrings.xml><?xml version="1.0" encoding="utf-8"?>
<sst xmlns="http://schemas.openxmlformats.org/spreadsheetml/2006/main" count="1080" uniqueCount="562">
  <si>
    <t>TOTAL</t>
  </si>
  <si>
    <t>TOTAL GENERAL PAGADO EN SEGUROS</t>
  </si>
  <si>
    <t>Ene.</t>
  </si>
  <si>
    <t>Feb.</t>
  </si>
  <si>
    <t>Mar.</t>
  </si>
  <si>
    <t>Abril</t>
  </si>
  <si>
    <t>Mayo</t>
  </si>
  <si>
    <t xml:space="preserve">MES   </t>
  </si>
  <si>
    <t>Junio</t>
  </si>
  <si>
    <t>Julio</t>
  </si>
  <si>
    <t>Agosto</t>
  </si>
  <si>
    <t xml:space="preserve"> </t>
  </si>
  <si>
    <t>Sept.</t>
  </si>
  <si>
    <t>Octubre</t>
  </si>
  <si>
    <t>Noviem</t>
  </si>
  <si>
    <t>Diciem</t>
  </si>
  <si>
    <t>Vo.Bo.</t>
  </si>
  <si>
    <t>DOBLE PAGO POR MUERTE ACCIDENTAL</t>
  </si>
  <si>
    <t xml:space="preserve">PAGO DEL 10% DE GASTOS FUNERARIOS </t>
  </si>
  <si>
    <t>FALLECIDOS</t>
  </si>
  <si>
    <t xml:space="preserve">CAUSAS DE MAYOR </t>
  </si>
  <si>
    <t xml:space="preserve">RANGO DE </t>
  </si>
  <si>
    <t>TIPOS DE SEGUROS RECLAMADOS</t>
  </si>
  <si>
    <t>LUGAR DE FALLECIMIENTO</t>
  </si>
  <si>
    <t>RÉGIMEN</t>
  </si>
  <si>
    <t>INCIDENCIA</t>
  </si>
  <si>
    <t>FALLECIMIENTOS POR EDADES</t>
  </si>
  <si>
    <t xml:space="preserve">OPCIONAL </t>
  </si>
  <si>
    <t>SEPELIO</t>
  </si>
  <si>
    <t>DOTAL</t>
  </si>
  <si>
    <t>BÁSICO</t>
  </si>
  <si>
    <t>AHUACHAPÁN</t>
  </si>
  <si>
    <t>DA</t>
  </si>
  <si>
    <t xml:space="preserve">SANTA ANA  </t>
  </si>
  <si>
    <t>AA</t>
  </si>
  <si>
    <t>50 a 59  AÑOS</t>
  </si>
  <si>
    <t>SONSONATE</t>
  </si>
  <si>
    <t>DP</t>
  </si>
  <si>
    <t>60 a 69  AÑOS</t>
  </si>
  <si>
    <t>CHALATENANGO</t>
  </si>
  <si>
    <t>AP</t>
  </si>
  <si>
    <t xml:space="preserve">LA LIBERTAD </t>
  </si>
  <si>
    <t>CV</t>
  </si>
  <si>
    <t xml:space="preserve">SAN SALVADOR  </t>
  </si>
  <si>
    <t>Doc Sub</t>
  </si>
  <si>
    <t xml:space="preserve">CUSCATLÁN  </t>
  </si>
  <si>
    <t>LA PAZ</t>
  </si>
  <si>
    <t>DIABETES MELLITUS</t>
  </si>
  <si>
    <t>CABAÑAS</t>
  </si>
  <si>
    <t>SAN VICENTE</t>
  </si>
  <si>
    <t>USULUTÁN</t>
  </si>
  <si>
    <t>SAN MIGUEL</t>
  </si>
  <si>
    <t>MORAZÁN</t>
  </si>
  <si>
    <t>LA UNIÓN</t>
  </si>
  <si>
    <t>INSUFICIENCIA RESPIRATORIA</t>
  </si>
  <si>
    <t>PARO CARDIORESPIRATORIO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</si>
  <si>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</si>
  <si>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</si>
  <si>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</si>
  <si>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</si>
  <si>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</si>
  <si>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</si>
  <si>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</si>
  <si>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</si>
  <si>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</si>
  <si>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 xml:space="preserve">           Dina Lariza Rivera Menjívar</t>
  </si>
  <si>
    <t>NOVIEMBRE</t>
  </si>
  <si>
    <t>DICIEMBRE</t>
  </si>
  <si>
    <t>RESUMEN SOBRE VALORES PAGADOS EN DEVOLUCION DEL 30%</t>
  </si>
  <si>
    <t xml:space="preserve"> DE LOS APORTES PAGADOS EN EL SEGURO DE VIDA OPCIONAL A LOS  </t>
  </si>
  <si>
    <t>ASEGURADOS QUE CUMPLIERON 70 AÑOS DE EDAD DURANTE EL AÑO 2019</t>
  </si>
  <si>
    <t>MESES</t>
  </si>
  <si>
    <t>Nº DE VALORES DE RESCATE RECLAMADOS</t>
  </si>
  <si>
    <t>RENTA RETENIDA 10%</t>
  </si>
  <si>
    <t>VALORES PAGADOS POR LOS ASEGURADOS</t>
  </si>
  <si>
    <t>CANTIDAD PAGADA</t>
  </si>
  <si>
    <t>SEPTIEMBRE</t>
  </si>
  <si>
    <t xml:space="preserve">RESUMEN SOBRE VALORES DE RESCATE </t>
  </si>
  <si>
    <t xml:space="preserve">RESUMEN MENSUAL SOBRE PAGO DE SEGURO  </t>
  </si>
  <si>
    <t>VALORES PAGADOS POR EL ASEGURADO</t>
  </si>
  <si>
    <t>CANTIDAD LÍQUIDA PAGADA</t>
  </si>
  <si>
    <t xml:space="preserve">JULIO  </t>
  </si>
  <si>
    <t>NO.DE EXPEDIENTE</t>
  </si>
  <si>
    <t>NOBRE DEL ASEGURADO FALLECIDO</t>
  </si>
  <si>
    <t>EDAD</t>
  </si>
  <si>
    <t>S.V.B</t>
  </si>
  <si>
    <t>S.V.O.</t>
  </si>
  <si>
    <t>S.V.D.</t>
  </si>
  <si>
    <t>SXS</t>
  </si>
  <si>
    <t>CAUSA DE FALLECIMIENTO</t>
  </si>
  <si>
    <t>FECHA DE RECIBIDO</t>
  </si>
  <si>
    <t>SAN SALVADOR</t>
  </si>
  <si>
    <t>OFICINA CENTRAL</t>
  </si>
  <si>
    <t>SANTA ANA</t>
  </si>
  <si>
    <t>DA = DOCENTE ACTIVO</t>
  </si>
  <si>
    <t>AA = ADMINISTRATIVO ACTIVO</t>
  </si>
  <si>
    <t>DP = DOCENTE PENSIONADO</t>
  </si>
  <si>
    <t>AP = ADMINISTRATIVO PENSIONADO</t>
  </si>
  <si>
    <t>CV = COTIZANTE VOLUNTARIO</t>
  </si>
  <si>
    <t>ASEGURADOS REPORTADOS FALLECIDOS EN SEGUROS DE VIDA BÁSICO,</t>
  </si>
  <si>
    <t>OPCIONAL,  DOTAL Y SEGURO POR SEPELIO.</t>
  </si>
  <si>
    <t xml:space="preserve">        TIPOS DE SEGUROS RECLAMADOS</t>
  </si>
  <si>
    <t xml:space="preserve">TOTAL </t>
  </si>
  <si>
    <t xml:space="preserve">         TIPOS DE SEGUROS RECLAMADOS</t>
  </si>
  <si>
    <t>HOMBRES FALLECIDOS</t>
  </si>
  <si>
    <t>OPCIONAL</t>
  </si>
  <si>
    <t>SEGUROS RECLAMADOS HOMBRES</t>
  </si>
  <si>
    <t>MUJERES FALLECIDAS</t>
  </si>
  <si>
    <t>GENERAL SEGUROS RECLAMADOS</t>
  </si>
  <si>
    <t>.</t>
  </si>
  <si>
    <t>TOTALES</t>
  </si>
  <si>
    <r>
      <rPr>
        <b/>
        <i/>
        <sz val="10"/>
        <rFont val="Arial"/>
        <family val="2"/>
      </rPr>
      <t>NOTA:</t>
    </r>
    <r>
      <rPr>
        <i/>
        <sz val="10"/>
        <rFont val="Arial"/>
        <family val="2"/>
      </rPr>
      <t xml:space="preserve">  Donde aparece "0" es porque no hubo reclamo.</t>
    </r>
  </si>
  <si>
    <t xml:space="preserve">                      Dina Lariza Rivera Menjívar</t>
  </si>
  <si>
    <t>LA LIBERTAD</t>
  </si>
  <si>
    <t>Vo.Bo.:</t>
  </si>
  <si>
    <t>CANCER DE MAMA</t>
  </si>
  <si>
    <t>CANCER DE COLON</t>
  </si>
  <si>
    <t>CANCER DE OTRO TIPO</t>
  </si>
  <si>
    <t>DETALLE DE SEGUROS INDIVIDUALES</t>
  </si>
  <si>
    <t xml:space="preserve">           Jefa Unidad de Seguros</t>
  </si>
  <si>
    <t xml:space="preserve">         Vo.Bo.:</t>
  </si>
  <si>
    <t xml:space="preserve">                     Jefa Unidad de Seguros</t>
  </si>
  <si>
    <t>NUMERO DE SEGUROS RECLAMADOS</t>
  </si>
  <si>
    <t>NUMERO DE SEGUROS RECLAMA-DOS</t>
  </si>
  <si>
    <t>No. 5</t>
  </si>
  <si>
    <t>No. 6</t>
  </si>
  <si>
    <t>Nº DE DEVOLUCIONES DEL 30% RECLAMADAS</t>
  </si>
  <si>
    <t>D.P.Inval</t>
  </si>
  <si>
    <t>SOLO SVB</t>
  </si>
  <si>
    <t>SOLO SVO</t>
  </si>
  <si>
    <t>SOLO SVD</t>
  </si>
  <si>
    <t xml:space="preserve">ABREVIADURAS: </t>
  </si>
  <si>
    <t>SHOCK HIPOVOLÉMICO</t>
  </si>
  <si>
    <t>SEPTIEM.</t>
  </si>
  <si>
    <t>TOTAL GENERAL FALLECIDOS</t>
  </si>
  <si>
    <t>TOTAL SEGUROS RECLAMADOS MUJERES</t>
  </si>
  <si>
    <t>TRAUMATISMOS O POLITRAUMATISMO HECHO DE TRANSITO U OTRO</t>
  </si>
  <si>
    <t>Vo. Bo.</t>
  </si>
  <si>
    <t>CÓDIGO</t>
  </si>
  <si>
    <t>REPORTADO EN</t>
  </si>
  <si>
    <t>EE UU</t>
  </si>
  <si>
    <t>NEUMONIA O BRONCONEUMONÍAS</t>
  </si>
  <si>
    <t>MUERTES POR ARMAS DE FUEGO, CORTOPUNZANTES U OTROS</t>
  </si>
  <si>
    <t>VIRUS DE INMUNODEFICIENCIA HUMANA (VIH)</t>
  </si>
  <si>
    <t>ENFERMEDADES O INSUFICIENC. RENALES</t>
  </si>
  <si>
    <t>ENFERMEDADES O EDEMAS PULMONARES</t>
  </si>
  <si>
    <t>TAMBIÉN RECLAMOS POR TIPO DE SEGURO</t>
  </si>
  <si>
    <t>100 y más AÑOS</t>
  </si>
  <si>
    <t>PAGADO EN SEGURO DE VIDA BÁSICO</t>
  </si>
  <si>
    <t>PAGADO EN SEGURO POR SEPELIO</t>
  </si>
  <si>
    <t xml:space="preserve">ENFERMEDADES O FALLAS HEPATICAS; CIRROSIS </t>
  </si>
  <si>
    <t>SHOCK SÉPTICOS; SÉPSIS O SEPTICEMIAS</t>
  </si>
  <si>
    <t xml:space="preserve">             </t>
  </si>
  <si>
    <t>No. 8</t>
  </si>
  <si>
    <t>SPS</t>
  </si>
  <si>
    <t>PAGADO EN SEGURO DECRECIENTE DE DEUDA</t>
  </si>
  <si>
    <t>*Lr</t>
  </si>
  <si>
    <t>*LR</t>
  </si>
  <si>
    <t>*lr</t>
  </si>
  <si>
    <t>ABREVIATURAS:</t>
  </si>
  <si>
    <t>ASFIXIA POR ESTRANGULACIÓN,AHORCAMIENTO O SUMERSION</t>
  </si>
  <si>
    <t>SEGURO DE VIDA OPCIONAL</t>
  </si>
  <si>
    <t>PAGO DEL 100% DEL SVO  AL ASEGURADO (EN VIDA) POR INCAPACIDAD TOTAL Y PERMANENTE</t>
  </si>
  <si>
    <t>NOTAS:</t>
  </si>
  <si>
    <t>PAGADO                     SEGURO DE VIDA OPCIONAL</t>
  </si>
  <si>
    <t>HOMBRES (CUADROS APROBADOS POR CD)</t>
  </si>
  <si>
    <t>MUJERES (CUADROS APROBADOS POR CD)</t>
  </si>
  <si>
    <t>CUADRO RESUMEN DE PAGOS APROBADOS A BENEFICIARIOS DE SEGUROS DE VIDA BÁSICO, OPCIONAL, DOTAL, SEPELIO, DEUDA Y BENEFICIOS DE SVO</t>
  </si>
  <si>
    <t>FALLA MULTIORGANICA</t>
  </si>
  <si>
    <t>GÉNERO</t>
  </si>
  <si>
    <t>HOMBRE</t>
  </si>
  <si>
    <t>MUJER</t>
  </si>
  <si>
    <t>SOLO SPS</t>
  </si>
  <si>
    <t>SVO con otro seguro</t>
  </si>
  <si>
    <t xml:space="preserve">ACCIDENTES CEREBRO VASCULARES O TUMOR CEREBRAL </t>
  </si>
  <si>
    <t>SVD con otro seguro</t>
  </si>
  <si>
    <t>SPS con otro seguro</t>
  </si>
  <si>
    <t>SVB con otro seguro</t>
  </si>
  <si>
    <t>70 a 79 AÑOS</t>
  </si>
  <si>
    <t>80 a 89 AÑOS</t>
  </si>
  <si>
    <t>90 A 99 AÑOS</t>
  </si>
  <si>
    <t>25 a 39  AÑOS</t>
  </si>
  <si>
    <t>40 a 49  AÑOS</t>
  </si>
  <si>
    <t>CANCER UTERINO, CERVIX O DE OVARIO</t>
  </si>
  <si>
    <t>OTRAS</t>
  </si>
  <si>
    <t xml:space="preserve"> ENFERMEDADEDES CARDÍACAS, INFARTO AL MIOCARDIO O PARO CARDIACO </t>
  </si>
  <si>
    <t>HIPERTESIÓN ARTERIAL</t>
  </si>
  <si>
    <t xml:space="preserve">FALLECIDOS </t>
  </si>
  <si>
    <t>DE VIDA DOTAL POR VENCIMIENTO DE PÓLIZA AÑO 2019</t>
  </si>
  <si>
    <r>
      <rPr>
        <b/>
        <sz val="7"/>
        <rFont val="Arial"/>
        <family val="2"/>
      </rPr>
      <t>DA</t>
    </r>
    <r>
      <rPr>
        <sz val="7"/>
        <rFont val="Arial"/>
        <family val="2"/>
      </rPr>
      <t xml:space="preserve">=DOCENTE ACTIVO;  </t>
    </r>
    <r>
      <rPr>
        <b/>
        <sz val="7"/>
        <rFont val="Arial"/>
        <family val="2"/>
      </rPr>
      <t>AA</t>
    </r>
    <r>
      <rPr>
        <sz val="7"/>
        <rFont val="Arial"/>
        <family val="2"/>
      </rPr>
      <t xml:space="preserve">=ADMINISTRATIVO ACTIVO; </t>
    </r>
    <r>
      <rPr>
        <b/>
        <sz val="7"/>
        <rFont val="Arial"/>
        <family val="2"/>
      </rPr>
      <t>DP</t>
    </r>
    <r>
      <rPr>
        <sz val="7"/>
        <rFont val="Arial"/>
        <family val="2"/>
      </rPr>
      <t xml:space="preserve">= DOCENTE PENSIONADO; </t>
    </r>
    <r>
      <rPr>
        <b/>
        <sz val="7"/>
        <rFont val="Arial"/>
        <family val="2"/>
      </rPr>
      <t>AP</t>
    </r>
    <r>
      <rPr>
        <sz val="7"/>
        <rFont val="Arial"/>
        <family val="2"/>
      </rPr>
      <t xml:space="preserve">= ADMINISTRATIVO PENSIONADO; </t>
    </r>
    <r>
      <rPr>
        <b/>
        <sz val="7"/>
        <rFont val="Arial"/>
        <family val="2"/>
      </rPr>
      <t>CV</t>
    </r>
    <r>
      <rPr>
        <sz val="7"/>
        <rFont val="Arial"/>
        <family val="2"/>
      </rPr>
      <t xml:space="preserve">=COTIZANTE VOLUNTARIO; </t>
    </r>
  </si>
  <si>
    <r>
      <rPr>
        <b/>
        <sz val="7"/>
        <rFont val="Arial"/>
        <family val="2"/>
      </rPr>
      <t>Doc Sub=</t>
    </r>
    <r>
      <rPr>
        <sz val="7"/>
        <rFont val="Arial"/>
        <family val="2"/>
      </rPr>
      <t xml:space="preserve">DOCENTE SUBSIDIADO, </t>
    </r>
    <r>
      <rPr>
        <b/>
        <sz val="7"/>
        <rFont val="Arial"/>
        <family val="2"/>
      </rPr>
      <t>DP INVAL</t>
    </r>
    <r>
      <rPr>
        <sz val="7"/>
        <rFont val="Arial"/>
        <family val="2"/>
      </rPr>
      <t xml:space="preserve">=DOCENTE PENSIONADO CON INVALIDEZ, </t>
    </r>
    <r>
      <rPr>
        <b/>
        <sz val="7"/>
        <rFont val="Arial"/>
        <family val="2"/>
      </rPr>
      <t>DOC INAC</t>
    </r>
    <r>
      <rPr>
        <sz val="7"/>
        <rFont val="Arial"/>
        <family val="2"/>
      </rPr>
      <t xml:space="preserve">= DOCENTE INACTIVO </t>
    </r>
  </si>
  <si>
    <r>
      <rPr>
        <b/>
        <sz val="7"/>
        <rFont val="Arial"/>
        <family val="2"/>
      </rPr>
      <t xml:space="preserve">SVB= </t>
    </r>
    <r>
      <rPr>
        <sz val="7"/>
        <rFont val="Arial"/>
        <family val="2"/>
      </rPr>
      <t xml:space="preserve">Seguro de Vida básico; </t>
    </r>
    <r>
      <rPr>
        <b/>
        <sz val="7"/>
        <rFont val="Arial"/>
        <family val="2"/>
      </rPr>
      <t>SVO</t>
    </r>
    <r>
      <rPr>
        <sz val="7"/>
        <rFont val="Arial"/>
        <family val="2"/>
      </rPr>
      <t xml:space="preserve">= Seguro de Vida Opcional; </t>
    </r>
    <r>
      <rPr>
        <b/>
        <sz val="7"/>
        <rFont val="Arial"/>
        <family val="2"/>
      </rPr>
      <t>SVD</t>
    </r>
    <r>
      <rPr>
        <sz val="7"/>
        <rFont val="Arial"/>
        <family val="2"/>
      </rPr>
      <t xml:space="preserve">= Seguro de Vida Dotal; </t>
    </r>
    <r>
      <rPr>
        <b/>
        <sz val="7"/>
        <rFont val="Arial"/>
        <family val="2"/>
      </rPr>
      <t>SxS</t>
    </r>
    <r>
      <rPr>
        <sz val="7"/>
        <rFont val="Arial"/>
        <family val="2"/>
      </rPr>
      <t>= Seguro por Sepelio.</t>
    </r>
  </si>
  <si>
    <t xml:space="preserve">ESTADÍSTICA  GENERAL SOBRE ASEGURADOS FALLECIDOS REPORTADOS POR DEPARTAMENTO, GÉNERO, RÉGIMEN, CAUSA DE SINIESTRO, EDAD, </t>
  </si>
  <si>
    <t>No. 7</t>
  </si>
  <si>
    <t>No. 9</t>
  </si>
  <si>
    <t>No.2</t>
  </si>
  <si>
    <t xml:space="preserve">COVID O SOSPECHA  O RELACIONADAS </t>
  </si>
  <si>
    <t>GENERO</t>
  </si>
  <si>
    <r>
      <t xml:space="preserve">S.D.D. </t>
    </r>
    <r>
      <rPr>
        <b/>
        <sz val="8"/>
        <color indexed="10"/>
        <rFont val="Calibri"/>
        <family val="2"/>
      </rPr>
      <t>(Seguro Decreciente de Deuda)</t>
    </r>
  </si>
  <si>
    <t>INFARTO AGUDO AL MIOCARDIO</t>
  </si>
  <si>
    <t>CUSCATLÁN</t>
  </si>
  <si>
    <t>San Salvador, 04 de enero del año 2021</t>
  </si>
  <si>
    <t>DEL 01 AL 31 DE DICIEMBRE AÑO 2020</t>
  </si>
  <si>
    <t>NEJAPA, SAN SALVADOR</t>
  </si>
  <si>
    <t>PARO CARDIO RESPIRATORIO</t>
  </si>
  <si>
    <t>ZACATECOLUCA, LA PAZ</t>
  </si>
  <si>
    <t>NO. DE BENEFICIARIOS</t>
  </si>
  <si>
    <t>FECHA DE FALLECIMIENTO</t>
  </si>
  <si>
    <t>No. 2</t>
  </si>
  <si>
    <t>DEL 01 DE ENERO AL 31 DE DICIEMBRE AÑO 2020</t>
  </si>
  <si>
    <t>ASEGURADOS QUE CUMPLIERON 70 AÑOS DE EDAD DURANTE EL AÑO 2021</t>
  </si>
  <si>
    <t>DE SEGURO DE VIDA DOTAL PAGADOS AÑO 2021</t>
  </si>
  <si>
    <t>GF</t>
  </si>
  <si>
    <t>R 01-12</t>
  </si>
  <si>
    <t>R 01-16</t>
  </si>
  <si>
    <t>13-32</t>
  </si>
  <si>
    <t>17-33</t>
  </si>
  <si>
    <t>(21-22-23)Anualdos.</t>
  </si>
  <si>
    <t>DE SEGURO DE VIDA DOTAL PAGADOS AÑO 2020</t>
  </si>
  <si>
    <t>33-56</t>
  </si>
  <si>
    <t>34-57</t>
  </si>
  <si>
    <t>PAGADO CASO ESPECIAL                     SEGURO DE VIDA OPCIONAL</t>
  </si>
  <si>
    <t>PAGADO EN SEGURO DE VIDA DOTAL Y CASOS ESPECIALES DE DOTAL</t>
  </si>
  <si>
    <t>DE VIDA DOTAL POR VENCIMIENTO DE PÓLIZA  AÑO 2021</t>
  </si>
  <si>
    <t>ESTADÍSTICAS GENERALES 2021</t>
  </si>
  <si>
    <t xml:space="preserve">     Walter Edgardo Funes Callejas </t>
  </si>
  <si>
    <t xml:space="preserve">       Jefe Unidad de Seguros</t>
  </si>
  <si>
    <t>CMCD04.5.2.1/R2021-194</t>
  </si>
  <si>
    <t>22064</t>
  </si>
  <si>
    <t>ALICIA ZAVALETA MARTÍNEZ DE LÓPEZ</t>
  </si>
  <si>
    <t>F</t>
  </si>
  <si>
    <t>SÉPSIS, ÚLCERA POR DECÚBITO, NEUMONÍA</t>
  </si>
  <si>
    <t>CMCD04.5.2.1/R2021-195</t>
  </si>
  <si>
    <t>75588</t>
  </si>
  <si>
    <t>ROBERTO ALFREDO SUÁREZ CHAVARRÍA</t>
  </si>
  <si>
    <t>M</t>
  </si>
  <si>
    <t>ACCIDENTE CEREBROVASCULAR  ISQUÉMICO, HIPERTENSIÓN ARTERIAL</t>
  </si>
  <si>
    <t>CMCD04.5.2.1/R2021-196</t>
  </si>
  <si>
    <t>56465</t>
  </si>
  <si>
    <t>CARLOS ANTONIO CABRERA VALLECÍOS</t>
  </si>
  <si>
    <t>COLÓN, LA LIBERTAD</t>
  </si>
  <si>
    <t>CMCD04.5.2.1/R2021-197</t>
  </si>
  <si>
    <t>58202</t>
  </si>
  <si>
    <t>JESÚS TEODOCIO CHAVARRÍA</t>
  </si>
  <si>
    <t>ENTERITIS DEBIDO A SALMONELLA</t>
  </si>
  <si>
    <t>CMCD04.5.2.1/R2021-198</t>
  </si>
  <si>
    <t>07160</t>
  </si>
  <si>
    <t>JULIO CÉSAR HERRERA</t>
  </si>
  <si>
    <t>SOSPECHA COVID-19 VIRUS NO IDENTIFICADOS</t>
  </si>
  <si>
    <t>CMCD04.5.2.1/R2021-199</t>
  </si>
  <si>
    <t>23077</t>
  </si>
  <si>
    <t>MARÍA MARCOS SALAMANCA QUINTANILLA</t>
  </si>
  <si>
    <t>CÁNCER DE PÁNCREAS METASTÁSICO, INSUFICIENCIA CARDIACA CONGESTIVA, ESTENOSIS AORTICA, FIBRILACIÓN AURICULAR</t>
  </si>
  <si>
    <t>GUATEMALA</t>
  </si>
  <si>
    <t>CMCD04.5.2.1/R2021-200</t>
  </si>
  <si>
    <t>57435</t>
  </si>
  <si>
    <t>BERTA LETICIA SERMEÑO DE ESCOBAR</t>
  </si>
  <si>
    <t>SHOCK SÉPTICO, NEUMONÍA, ENFERMEDAD RENAL CRÓNICA</t>
  </si>
  <si>
    <t>CMCD04.5.2.1/R2021-201</t>
  </si>
  <si>
    <t>55017</t>
  </si>
  <si>
    <t>JESÚS SIFRIDO ULLOA TREJO</t>
  </si>
  <si>
    <t>TRAUMA CRANEOENCEFALICO SEVERO</t>
  </si>
  <si>
    <t>CHINAMECA, SAN MIGUEL</t>
  </si>
  <si>
    <t>CMCD04.5.2.1/R2021-202</t>
  </si>
  <si>
    <t>08673</t>
  </si>
  <si>
    <t>OSCAR EMILIO HERRERA JORDÁN</t>
  </si>
  <si>
    <t>NEUMONÍA DEBIDO A OTROS VIRUS, SOSPECHA DE COVID-19, VIRUS NO IDENTIFICADO</t>
  </si>
  <si>
    <t>CMCD04.5.2.1/R2021-203</t>
  </si>
  <si>
    <t>21434</t>
  </si>
  <si>
    <t>MARÍA EUGENIA TÉVEZ DE BLANDÓN</t>
  </si>
  <si>
    <t>CMCD04.5.2.1/R2021-204</t>
  </si>
  <si>
    <t>09290</t>
  </si>
  <si>
    <t>MARÍA TERESA LEMUS MARTÍNEZ</t>
  </si>
  <si>
    <t>PAROCARDIO-RESPIRATORIO A CONSECUENCIA DE INSUFICIENCIA RENAL CRÓNICA</t>
  </si>
  <si>
    <t>CANDELARIA DE LA FRONTERA, SANTA ANA</t>
  </si>
  <si>
    <t>CMCD04.5.2.1/R2021-205</t>
  </si>
  <si>
    <t>21136</t>
  </si>
  <si>
    <t>HILDA CRISTINA MEDRANO CEA DE FIGUEROA</t>
  </si>
  <si>
    <t>CHOQUE SÉPTICO, NEUMONÍA BACTERIANA, ÚLCERAS SACRAS INFECTADAS, ARRITMIA CARDÍACA</t>
  </si>
  <si>
    <t>CMCD04.5.2.1/R2021-206</t>
  </si>
  <si>
    <t>36476</t>
  </si>
  <si>
    <t>RAUL ERNESTO HERNÁNDEZ MAYORGA</t>
  </si>
  <si>
    <t>CHOQUE SÉPTICO, PIE DIABETICO, INSUFICIENCIA ARTERIAL PERIFERICA, ENFERMEDAD TERMINAL CRÓNICA TERMINAL, DIABETES MELLITUS</t>
  </si>
  <si>
    <t>CMCD04.5.2.1/R2021-207</t>
  </si>
  <si>
    <t>18406</t>
  </si>
  <si>
    <t>REBECA DEL CARMEN ARGUETA</t>
  </si>
  <si>
    <t>TROMBOEMBOLISMO PULMONAR, CHOQUE SEPTICO</t>
  </si>
  <si>
    <t>CMCD04.5.2.1/R2021-208</t>
  </si>
  <si>
    <t>21802</t>
  </si>
  <si>
    <t>CARLOS BORROMEO VIDAL LÓPEZ</t>
  </si>
  <si>
    <t>NEUMONÍA VIRAL NO ESPECIFÍCADA, SOSPECHA DE COVID-19, VIRUS NO IDENTIFICADO</t>
  </si>
  <si>
    <t>CMCD04.5.2.1/R2021-209</t>
  </si>
  <si>
    <t>43201</t>
  </si>
  <si>
    <t>GERBER ARMANDO SEGURA ALVARENGA</t>
  </si>
  <si>
    <t>ASTROCITOMA GRADO II RECURRENTE MÁS SINDROME CONVULSIVO</t>
  </si>
  <si>
    <t>CMCD04.5.2.1/R2021-210</t>
  </si>
  <si>
    <t>23767</t>
  </si>
  <si>
    <t>MARÍA ELENA CAMPOS DE AHUES</t>
  </si>
  <si>
    <t>ABUSO DE PARED ABDOMINAL, SHOCK SÉPTICO</t>
  </si>
  <si>
    <t>CMCD04.5.2.1/R2021-211</t>
  </si>
  <si>
    <t>01871</t>
  </si>
  <si>
    <t>ANA ESTER ORTÍZ DE COTO</t>
  </si>
  <si>
    <t xml:space="preserve">PARO CARDIORESPIRATORIO A CAUSA DE NEUMONÍA </t>
  </si>
  <si>
    <t>CMCD04.5.2.1/R2021-212</t>
  </si>
  <si>
    <t>36906</t>
  </si>
  <si>
    <t>NOÉ FAUSTINO LOVOS MIRANDA</t>
  </si>
  <si>
    <t>26/14/2021</t>
  </si>
  <si>
    <t>OTRAS FORMAS DE CHOQUE, SOSPECHA COVID-19 VIRUS NO IDENTIFICADO</t>
  </si>
  <si>
    <t>CMCD04.5.2.1/R2021-213</t>
  </si>
  <si>
    <t>38801</t>
  </si>
  <si>
    <t>LUIS ORLANDO CARDOZA TOBAR</t>
  </si>
  <si>
    <t>DIABETES MELLITUS, ENFERMEDAD RENAL TERMINAL, NEUMONÍA GRAVE POR COVID 19</t>
  </si>
  <si>
    <t>CMCD04.5.2.1/R2021-214</t>
  </si>
  <si>
    <t>14393</t>
  </si>
  <si>
    <t>MATILDE REYNA ROMERO DE PALACIOS</t>
  </si>
  <si>
    <t>SANGRADO DE TUBO DIGESTIVO SUPERIOR ACTIVO</t>
  </si>
  <si>
    <t>CMCD04.5.2.1/R2021-215</t>
  </si>
  <si>
    <t>39866</t>
  </si>
  <si>
    <t>MARÍA DEL CARMEN MORALES DE ORELLANA</t>
  </si>
  <si>
    <t>CHOQUE SEPTICO, SOSPECHA DE COVID GUION DIECINUEVE VIRUS NO IDENTIFICADO</t>
  </si>
  <si>
    <t>CMCD04.5.2.1/R2021-216</t>
  </si>
  <si>
    <t>25495</t>
  </si>
  <si>
    <t>MARCOS FLORES SARAVIA</t>
  </si>
  <si>
    <t>INFARTO AGUDO DEL MIOCARDIO</t>
  </si>
  <si>
    <t>SAN JORGE, SAN MIGUEL</t>
  </si>
  <si>
    <t>CMCD04.5.2.1/R2021-217</t>
  </si>
  <si>
    <t>02971</t>
  </si>
  <si>
    <t>MIRNA EUGENIA LÓPEZ DÍAZ DE ROMERO</t>
  </si>
  <si>
    <t>NEUMONÍA COVID GUION DIECINUEVE MÁS HEPATOPATÍA CRÓNICA</t>
  </si>
  <si>
    <t>CMCD04.5.2.1/R2021-218</t>
  </si>
  <si>
    <t>06730</t>
  </si>
  <si>
    <t>CELSA ANTONIA MARTÍNEZ DURÁN</t>
  </si>
  <si>
    <t>AGUILARES, SAN SALVADOR</t>
  </si>
  <si>
    <t>CMCD04.5.2.1/R2021-219</t>
  </si>
  <si>
    <t>02895</t>
  </si>
  <si>
    <t>SOLEDAD HERNÁNDEZ DE LÓPEZ</t>
  </si>
  <si>
    <t>CETOACIDOSIS DIABETICA, SHOCK SÉTOCO, DIABETES MELLITUS</t>
  </si>
  <si>
    <t>CMCD04.5.2.1/R2021-220</t>
  </si>
  <si>
    <t>31312</t>
  </si>
  <si>
    <t>ANA PATRICIA JIMÉNEZ DE RAMÍREZ</t>
  </si>
  <si>
    <t>PARO RESPIRATORIO, CÁNCER DE PELVIS, CÁNCER DE VESÍCULA, INSUFICIENCIA RENAL CRÓNICA</t>
  </si>
  <si>
    <t>CMCD04.5.2.1/R2021-221</t>
  </si>
  <si>
    <t>21262</t>
  </si>
  <si>
    <t>MARÍA GUADALUPE MENDOZA INTERIANA</t>
  </si>
  <si>
    <t>SHOCK SÉPTICO, NEUMONÍA NOSOCOMIAL, SÉPSIS ABDOMINAL</t>
  </si>
  <si>
    <t>CMCD04.5.2.1/R2021-222</t>
  </si>
  <si>
    <t>00002</t>
  </si>
  <si>
    <t>LUIS HÉCTOR ÁVILES HIDALGO</t>
  </si>
  <si>
    <t>NEUMONÍA ASOCIADA A CORONAVIRUS, CARDÍOPATIA ISQUEMICA</t>
  </si>
  <si>
    <t>CMCD04.5.2.1/R2021-223</t>
  </si>
  <si>
    <t>08978</t>
  </si>
  <si>
    <t>MARTÍN ROMERO MONTERROSA RODRÍGUEZ</t>
  </si>
  <si>
    <t>CHOQUE CARDIOGENICO, HIPERTENSIÓN ARTERIAL, CARDIOOPATÍA ISQUEMICA DILATADA</t>
  </si>
  <si>
    <t>CMCD04.5.2.1/R2021-224</t>
  </si>
  <si>
    <t>60514</t>
  </si>
  <si>
    <t>MARÍA ELIZABETH AMAYA DÍAZ</t>
  </si>
  <si>
    <t>CHOQUE SÉPTICO, CHOQUE HIPOSLEMICO</t>
  </si>
  <si>
    <t>CMCD04.5.2.1/R2021-225</t>
  </si>
  <si>
    <t>37732</t>
  </si>
  <si>
    <t>LORENA DEL CARMEN ARTOLA RIVERA DE HERNÁNDEZ</t>
  </si>
  <si>
    <t>JOCORO, MORAZÁN</t>
  </si>
  <si>
    <t>CMCD04.5.2.1/R2021-226</t>
  </si>
  <si>
    <t>49198</t>
  </si>
  <si>
    <t>MARCOS ANTONIO JOVEL</t>
  </si>
  <si>
    <t>CHOQUE SÉPTICO, COVID GUION DIECINUEVE</t>
  </si>
  <si>
    <t>CMCD04.5.2.1/R2021-227</t>
  </si>
  <si>
    <t>21149</t>
  </si>
  <si>
    <t>LUIS ÁNGEL JIMÉNEZ MARRPQUÍN</t>
  </si>
  <si>
    <t>SANGRADO DIGESTIVO SUPERIOR</t>
  </si>
  <si>
    <t>PLAN MAESTRO</t>
  </si>
  <si>
    <t>CMCD04.5.2.1/R2021-228</t>
  </si>
  <si>
    <t>21205</t>
  </si>
  <si>
    <t xml:space="preserve">CARLOS ALBERTO CRUZ ÁVALOS </t>
  </si>
  <si>
    <t>SHOCK SÉPTICO</t>
  </si>
  <si>
    <t>CMCD04.5.2.1/R2021-229</t>
  </si>
  <si>
    <t>23307</t>
  </si>
  <si>
    <t>DORA DEL CARMEN CHOTO CRUZ DE PÉREZ</t>
  </si>
  <si>
    <t>ISQUEMIA CRÍTICA DE MIEMBRO INFERIOR, ARRITMIA CARDIACA, DISTRESS RESPIRATORIO SEVERO</t>
  </si>
  <si>
    <t>CMCD04.5.2.1/R2021-230</t>
  </si>
  <si>
    <t>25813</t>
  </si>
  <si>
    <t>JULIO AGUSTÍN ROMERO MENJÍVAR</t>
  </si>
  <si>
    <t>CARDIOPATÍA ATEROESCLERÓTICA MÁS CIRROSIS HEPÁTICA</t>
  </si>
  <si>
    <t>Jefe Unidad de Seguros</t>
  </si>
  <si>
    <t xml:space="preserve">Walter Edgardo Funes </t>
  </si>
  <si>
    <t>Walter Edgardo Funes Callejas.</t>
  </si>
  <si>
    <t>3.4.2.2-R-LR-2021-231</t>
  </si>
  <si>
    <t>3.4.2.2-R-LR-2021-232</t>
  </si>
  <si>
    <t>3.4.2.2-R-LR-2021-233</t>
  </si>
  <si>
    <t>3.4.2.2-R-LR-2021-234</t>
  </si>
  <si>
    <t>3.4.2.2-R-LR-2021-235</t>
  </si>
  <si>
    <t>3.4.2.2-R-LR-2021-236</t>
  </si>
  <si>
    <t>3.4.2.2-R-LR-2021-237</t>
  </si>
  <si>
    <t>3.4.2.2-R-LR-2021-238</t>
  </si>
  <si>
    <t>3.4.2.2-R-LR-2021-239</t>
  </si>
  <si>
    <t>3.4.2.2-R-LR-2021-240</t>
  </si>
  <si>
    <t>3.4.2.2-R-LR-2021-241</t>
  </si>
  <si>
    <t>3.4.2.2-R-LR-2021-242</t>
  </si>
  <si>
    <t>3.4.2.2-R-LR-2021-243</t>
  </si>
  <si>
    <t>3.4.2.2-R-LR-2021-244</t>
  </si>
  <si>
    <t>3.4.2.2-R-LR-2021-245</t>
  </si>
  <si>
    <t>3.4.2.2-R-LR-2021-246</t>
  </si>
  <si>
    <t>3.4.2.2-R-LR-2021-247</t>
  </si>
  <si>
    <t>3.4.2.2-R-LR-2021-248</t>
  </si>
  <si>
    <t>3.4.2.2-R-LR-2021-249</t>
  </si>
  <si>
    <t>3.4.2.2-R-LR-2021-250</t>
  </si>
  <si>
    <t>3.4.2.2-R-LR-2021-251</t>
  </si>
  <si>
    <t>3.4.2.2-R-LR-2021-252</t>
  </si>
  <si>
    <t>3.4.2.2-R-LR-2021-253</t>
  </si>
  <si>
    <t>3.4.2.2-R-LR-2021-254</t>
  </si>
  <si>
    <t>3.4.2.2-R-LR-2021-255</t>
  </si>
  <si>
    <t>3.4.2.2-R-LR-2021-256</t>
  </si>
  <si>
    <t>3.4.2.2-R-LR-2021-257</t>
  </si>
  <si>
    <t>3.4.2.2-R-LR-2021-258</t>
  </si>
  <si>
    <t>3.4.2.2-R-LR-2021-259</t>
  </si>
  <si>
    <t>3.4.2.2-R-LR-2021-260</t>
  </si>
  <si>
    <t>3.4.2.2-R-LR-2021-261</t>
  </si>
  <si>
    <t>3.4.2.2-R-LR-2021-262</t>
  </si>
  <si>
    <t>3.4.2.2-R-LR-2021-263</t>
  </si>
  <si>
    <t>3.4.2.2-R-LR-2021-264</t>
  </si>
  <si>
    <t>3.4.2.2-R-LR-2021-265</t>
  </si>
  <si>
    <t>3.4.2.2-R-LR-2021-266</t>
  </si>
  <si>
    <t>3.4.2.2-R-LR-2021-267</t>
  </si>
  <si>
    <t>3.4.2.2-R-LR-2021-268</t>
  </si>
  <si>
    <t>05069</t>
  </si>
  <si>
    <t>35610</t>
  </si>
  <si>
    <t>21395</t>
  </si>
  <si>
    <t>04087</t>
  </si>
  <si>
    <t>19648</t>
  </si>
  <si>
    <t>05448</t>
  </si>
  <si>
    <t>15676</t>
  </si>
  <si>
    <t>03658</t>
  </si>
  <si>
    <t>55551</t>
  </si>
  <si>
    <t>65461</t>
  </si>
  <si>
    <t>03070</t>
  </si>
  <si>
    <t>16983</t>
  </si>
  <si>
    <t>52659</t>
  </si>
  <si>
    <t>17802</t>
  </si>
  <si>
    <t>19016</t>
  </si>
  <si>
    <t>20077</t>
  </si>
  <si>
    <t>15619</t>
  </si>
  <si>
    <t>25617</t>
  </si>
  <si>
    <t>23677</t>
  </si>
  <si>
    <t>13797</t>
  </si>
  <si>
    <t>53911</t>
  </si>
  <si>
    <t>32558</t>
  </si>
  <si>
    <t>13978</t>
  </si>
  <si>
    <t>56303</t>
  </si>
  <si>
    <t>67991</t>
  </si>
  <si>
    <t>22841</t>
  </si>
  <si>
    <t>17747</t>
  </si>
  <si>
    <t>00485</t>
  </si>
  <si>
    <t>47506</t>
  </si>
  <si>
    <t>57876</t>
  </si>
  <si>
    <t>20283</t>
  </si>
  <si>
    <t>22938</t>
  </si>
  <si>
    <t>22532</t>
  </si>
  <si>
    <t>06720</t>
  </si>
  <si>
    <t>66193</t>
  </si>
  <si>
    <t>14811</t>
  </si>
  <si>
    <t>29889</t>
  </si>
  <si>
    <t>22024</t>
  </si>
  <si>
    <t>ROSA IDALIA MEJÍA DE HERNÁNDEZ</t>
  </si>
  <si>
    <t>JOSÉ ARÍSTIDES AGUILAR</t>
  </si>
  <si>
    <t>MARÍA AZUCENA AGUILUZ DE MENJÍVAR</t>
  </si>
  <si>
    <t>REINA JULIA MENJÍVAR DE ALBERTO</t>
  </si>
  <si>
    <t>JOSÉ INOCENTE MERCADO</t>
  </si>
  <si>
    <t>DORA VILMA ZELADA</t>
  </si>
  <si>
    <t>SILVIA ANGÉLICA HENRÍQUEZ ARGUETA</t>
  </si>
  <si>
    <t>SONIA YANET TORRENTO MORENO</t>
  </si>
  <si>
    <t>RICARDO LOZANO ARCE</t>
  </si>
  <si>
    <t>WILLIAM ERNESTO CALDERÓN ONOFRE</t>
  </si>
  <si>
    <t>JOSEFA ANTONIA PERDOMO DE LÓPEZ</t>
  </si>
  <si>
    <t>SONIA CECILIA TORRES DE TORRES</t>
  </si>
  <si>
    <t>ARACELY MIRANDA HERNÁNDEZ</t>
  </si>
  <si>
    <t>MARTA GLODIS GUZMÁN DE PARADA</t>
  </si>
  <si>
    <t>ARQUIMIDES MANFREDY CANIZALEZ SALMERÓN</t>
  </si>
  <si>
    <t>JUAN FRANCISCO PINEDA VALLE</t>
  </si>
  <si>
    <t>FRANCISCA DOLORES TREJO DE QUEMAIN</t>
  </si>
  <si>
    <t>MARÍA HILDA ROMERO VIUDA DE RECINOS</t>
  </si>
  <si>
    <t xml:space="preserve">MARÍA STELA HERNÁNDEZ DIMAS VDA. DE VALDES </t>
  </si>
  <si>
    <t>BLANCA VALLADARES RENDEROS</t>
  </si>
  <si>
    <t>JORGE ALBERTO CASTRO BENÍTEZ</t>
  </si>
  <si>
    <t>ANTONIO ROBERTO CAMPOS</t>
  </si>
  <si>
    <t>RAFAEL RODOLFO EDMUNDO PINZÓN POLANCO</t>
  </si>
  <si>
    <t>GERARDO ALFREDO PARADA MOZ</t>
  </si>
  <si>
    <t>ÓSCAR MAURICIO GODOY CHINCHILLA</t>
  </si>
  <si>
    <t>CARMEN EUGENIA DEL TRÁNSITO GRANADOS DE BENAVIDES</t>
  </si>
  <si>
    <t>JOSÉ ALONSO PARADA RIVERA</t>
  </si>
  <si>
    <t>JOSÉ DAVID LINARES CARRANZA</t>
  </si>
  <si>
    <t>ELSA GLADIS RAMÍREZ DE MARTÍNEZ</t>
  </si>
  <si>
    <t>CARLOS ROBERTO GUEVARA REYES</t>
  </si>
  <si>
    <t>CARLOS ALBERTO MARTÍNEZ ORELLANA</t>
  </si>
  <si>
    <t>ADELA HERNÁNDEZ</t>
  </si>
  <si>
    <t>JOSÉ VICENTE CUBÍAS CÓRDOVA</t>
  </si>
  <si>
    <t>LUZ MARINA FUNES PACHECO VDA. DE DRIOTTEZ</t>
  </si>
  <si>
    <t>NELSON FELIPE LUNA MELÉNDEZ</t>
  </si>
  <si>
    <t xml:space="preserve">DORA ANZORA DE URBANO </t>
  </si>
  <si>
    <t>GLADIS ELISABETH URRUTIA DE DOMÍNGUEZ</t>
  </si>
  <si>
    <t>BETTY AMABELLA GUEVARA DE CUBÍAS</t>
  </si>
  <si>
    <t>DP (CV)</t>
  </si>
  <si>
    <t>CHOQUE SÉPTICO, COVID-19, ENFERMEDAD RENAL TERMINAL, DIABETES MELLITUS</t>
  </si>
  <si>
    <t>CHOQUE SÉPTICO, SOSPECHA COVID-19 VIRUS NO IDENTIFICADO</t>
  </si>
  <si>
    <t>ÚLCERA SACRA GIGANTE, CHOQUE SÉPTICA</t>
  </si>
  <si>
    <t>INSUFICIENCIA RESPIRATORIA, NEUMONÍA VIRAL, COVID DIECINUEVE, VIRUS IDENTIFICADO, HIPERTENSIÓN ARTERIAL</t>
  </si>
  <si>
    <t>NEUMONÍA NOSOCOMIAL, SHOCK SÉPTICO,TRAUMA VERTEBROMEDULAR</t>
  </si>
  <si>
    <t>CÁNCER PRIMARIO DESCONOCIDO</t>
  </si>
  <si>
    <t>PERITONITIS BACTERIANA ESPONTÁNEA, ENCEFALOPATÍA HEPÁTICA, METÁSTASIS HEPÁTICA MÁS CÁNCER DE CÓLON</t>
  </si>
  <si>
    <t>NEUMONÍA GRAVE, SOSPECHA DE COVID-19, DIABETES DESCONTROLADA</t>
  </si>
  <si>
    <t xml:space="preserve">ACCIDENTE CEREBROVASCULAR </t>
  </si>
  <si>
    <t>SOSPECHA COVID-19 VIRUS NO IDENTIFICADO MÁS ACIDOSIS MÁS FALLA ORGÁNICA</t>
  </si>
  <si>
    <t>CÁNCER TERMINAL DE ESTÓMAGO (ADENOCARCINOMA METASTÁSICO)</t>
  </si>
  <si>
    <t>PARO CARDIO-RESPIRATORIO</t>
  </si>
  <si>
    <t xml:space="preserve">ARMA DE FUEGO EN CRÁNEO </t>
  </si>
  <si>
    <t>ADENO CARCINOMA PULMONAR</t>
  </si>
  <si>
    <t>HIPERTENSIÓN ARTERIAL, INSUFICIENCIA RENAL</t>
  </si>
  <si>
    <t>DISTRES RESPIRATORIO DEL ADULTO, NEUMONÍA ASPIRATIVA, INSUFICIENCIA RENAL AGUDA, MIOCARDIOPATÍA DILATADA, DIABETES MELLITUS TIPO 11 COMPLICADA</t>
  </si>
  <si>
    <t>CIRROSIS HEPÁTICA + ENFERMEDAD DE ALZHEIMER</t>
  </si>
  <si>
    <t>CHOCK SÉPTICO, NEUMONÍA GRAVE, INSUFICIENCIA CARDIACA, DIABETES MELLITOS</t>
  </si>
  <si>
    <t>INFARTO AGUDO DE MIOCARDIO, SÍNDROME DE ANOREXIA</t>
  </si>
  <si>
    <t>CHOQUE SÉPTICO, NEUMONÍA ASPIRATIVA MÁS ENFERMEDAD RENAL CRÓNICA</t>
  </si>
  <si>
    <t>NEUMONÍA GRAVE</t>
  </si>
  <si>
    <t>SANGRADO DE TUBO DIGESTIVO SUPERIOR</t>
  </si>
  <si>
    <t>SINDROME DE RESPUESTA INFLAMATORIA SISTÉMICA DE ORIGEN INFECCIOSO, CON FALLA ORGÁNICA, SOSPECHA DE COVID GUIÓN DIECINUEVE, SECUELAS DE OTRAS ENFERMEDADES CEREBROVASCULARES</t>
  </si>
  <si>
    <t>CHOQUE CARDIOGÉNICO, INFARTO AGUDO DEL MIOCARDIO, CARDIOPATÍA ISQUÉMICA, HIPERTENSIÓN ARTERIAL</t>
  </si>
  <si>
    <t>INFARTO AGUDO DE MIOCARDIO</t>
  </si>
  <si>
    <t>EMBOLIA PULMONAR</t>
  </si>
  <si>
    <t>NEUMONÍA BACTERIANA</t>
  </si>
  <si>
    <t>NEUMONÍA GRAVE, COVID-19, POSITIVO</t>
  </si>
  <si>
    <t>ENFERMEDAD RENAL CRÓNICA ESTADO V, NEUMONÍA COMUNITARIA</t>
  </si>
  <si>
    <t>PARO CARDIORESPIRATORIO A CONSECUENCIA DE CÁNCER TERMINAL HEPÁTICO</t>
  </si>
  <si>
    <t>TRAUMA CRANEOENCEFALICO SEVERO, NEUMONÍA NOSOCOMIAL POR HONGOS</t>
  </si>
  <si>
    <t>SÍNDROME NEOPLÁSICO, INSUFICIENCIA RESPIRATORIA AGUDA</t>
  </si>
  <si>
    <t xml:space="preserve">CÁNCER GÁSTRICO </t>
  </si>
  <si>
    <t>SOSPECHA DE NEUMONÍA POR COVID DIECINUEVE + ENFERMEDAD RENAL CRÓNICA</t>
  </si>
  <si>
    <t>COVID-19 MÁS SÍNDROME DE RESPUESTA INFLAMATORIA SISTEMÁTICA DE ORÍGEN INFECCIÓN, CON FALLA ORGÁNICA</t>
  </si>
  <si>
    <t>NEUMONÍA ATÍPICA, SOSPECHA DE COVID DIECINUEVE, HIPERTENSIÓN ARTERIAL, DEMENSIA SENIL</t>
  </si>
  <si>
    <t>SOYAPANGO, SAN SALVADOR</t>
  </si>
  <si>
    <t>TONACATEPEQUE, SAN SALVADOR</t>
  </si>
  <si>
    <t>COJUTEPEQUE, CUSCATLÁN</t>
  </si>
  <si>
    <t>CHAPELTIQUE, SAN MIGUEL</t>
  </si>
  <si>
    <t>SANTA TECLA, LA LIBERTAD</t>
  </si>
  <si>
    <t>SAN JOSÉ GUAYABAL, CUSCATLÁN</t>
  </si>
  <si>
    <t>ARMENIA, SONSONATE</t>
  </si>
  <si>
    <t>MEJICANOS, SAN SALVADOR</t>
  </si>
  <si>
    <t>QUEZALTEPEQUE, LA LIBERTAD</t>
  </si>
  <si>
    <t xml:space="preserve">   Jefe Unidad de Seguros</t>
  </si>
  <si>
    <t>Walter Edgardo Funes Callejas</t>
  </si>
  <si>
    <t xml:space="preserve">            REPORTE DE FALLECIDOS DURANTE EL MES DE JUNIO 2021</t>
  </si>
  <si>
    <t>DEL 01 ENERO AL 31 DE DICIEMBRE AÑO 2021</t>
  </si>
  <si>
    <t>San Salvador, 13 de julio 2021</t>
  </si>
  <si>
    <t>San Salvador, 13 de JULIO de 2021</t>
  </si>
  <si>
    <t>Y POR TIPOS DE SEGUROS DEL 01 ENERO AL 31 DE DICIEMBRE AÑO 2021</t>
  </si>
  <si>
    <t>ASEGURADOS  FALLECIDOS REPORTADOS EN EL MES  DE JUNIO 2021</t>
  </si>
  <si>
    <t>Y POR TIPOS DE SEGUROS DEL 01 DE ENERO AL 31 DE DICIEMBRE AÑO 2021</t>
  </si>
  <si>
    <t>San Salvador, 13 DE JULIO de 2021</t>
  </si>
  <si>
    <t xml:space="preserve">Walter Edgardo Funes Callejas </t>
  </si>
  <si>
    <t>CORRESPONDIENTE AL PERIODO DEL DEL 01  AL 31 DE DICIEMBRE DEL  AÑO 2021</t>
  </si>
  <si>
    <t>San Salvador, 13 de JULIO 2021</t>
  </si>
  <si>
    <t xml:space="preserve"> FALLECIDOS  AÑO 2021 QUE HAN RECLAMADO Y PAGADO (CUADROS APROBADOS POR CD)</t>
  </si>
  <si>
    <t>SEGUROS PEND. DE PAGO DE OTROS AÑOS, PAGADOS EN EL 2021 (CUADROS APROBADOS POR CD+ CASOS DE INV)</t>
  </si>
  <si>
    <t>Nº DE BENEF. A LOS QUE SE LES HA PAGADO EN EL AÑO 2021 (CUADROS APROBADOS POR CD + CASOS DE INV)</t>
  </si>
  <si>
    <t>Otro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</si>
</sst>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-[$$-C09]* #,##0.00_-;\-[$$-C09]* #,##0.00_-;_-[$$-C09]* &quot;-&quot;??_-;_-@_-"/>
    <numFmt numFmtId="168" formatCode="_([$$-440A]* #,##0.00_);_([$$-440A]* \(#,##0.00\);_([$$-440A]* &quot;-&quot;??_);_(@_)"/>
    <numFmt numFmtId="169" formatCode="dd/mm/yyyy;@"/>
    <numFmt numFmtId="170" formatCode="_([$€]* #,##0.00_);_([$€]* \(#,##0.00\);_([$€]* &quot;-&quot;??_);_(@_)"/>
    <numFmt numFmtId="171" formatCode="&quot;$&quot;#,##0.00;[Red]&quot;$&quot;#,##0.00"/>
  </numFmts>
  <fonts count="81" x14ac:knownFonts="1">
    <font>
      <sz val="10"/>
      <name val="Arial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4"/>
      <name val="Arial"/>
      <family val="2"/>
    </font>
    <font>
      <sz val="5"/>
      <name val="Arial"/>
      <family val="2"/>
    </font>
    <font>
      <b/>
      <sz val="9"/>
      <name val="Bookman Old Style"/>
      <family val="1"/>
    </font>
    <font>
      <b/>
      <sz val="8"/>
      <name val="Bookman Old Style"/>
      <family val="1"/>
    </font>
    <font>
      <b/>
      <sz val="7"/>
      <name val="Bookman Old Style"/>
      <family val="1"/>
    </font>
    <font>
      <sz val="10"/>
      <name val="Tahoma"/>
      <family val="2"/>
    </font>
    <font>
      <i/>
      <sz val="5"/>
      <name val="Arial"/>
      <family val="2"/>
    </font>
    <font>
      <b/>
      <sz val="7"/>
      <name val="Arial"/>
      <family val="2"/>
    </font>
    <font>
      <sz val="10"/>
      <color indexed="8"/>
      <name val="Tahoma"/>
      <family val="2"/>
    </font>
    <font>
      <b/>
      <sz val="10"/>
      <color indexed="63"/>
      <name val="Arial"/>
      <family val="2"/>
    </font>
    <font>
      <b/>
      <sz val="10"/>
      <color indexed="18"/>
      <name val="Arial"/>
      <family val="2"/>
    </font>
    <font>
      <b/>
      <sz val="9"/>
      <color indexed="8"/>
      <name val="Tahoma"/>
      <family val="2"/>
    </font>
    <font>
      <b/>
      <sz val="12"/>
      <color indexed="8"/>
      <name val="Arial"/>
      <family val="2"/>
    </font>
    <font>
      <i/>
      <sz val="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b/>
      <sz val="4"/>
      <name val="Arial"/>
      <family val="2"/>
    </font>
    <font>
      <sz val="8"/>
      <name val="Tahoma"/>
      <family val="2"/>
    </font>
    <font>
      <b/>
      <sz val="9"/>
      <name val="Tahoma"/>
      <family val="2"/>
    </font>
    <font>
      <b/>
      <sz val="8"/>
      <color indexed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theme="4" tint="-0.249977111117893"/>
      <name val="Tahoma"/>
      <family val="2"/>
    </font>
    <font>
      <b/>
      <sz val="9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4" tint="-0.249977111117893"/>
      <name val="Calibri"/>
      <family val="2"/>
      <scheme val="minor"/>
    </font>
    <font>
      <sz val="8"/>
      <color theme="4"/>
      <name val="Tahoma"/>
      <family val="2"/>
    </font>
    <font>
      <b/>
      <sz val="9"/>
      <color theme="4"/>
      <name val="Arial"/>
      <family val="2"/>
    </font>
    <font>
      <sz val="8"/>
      <color theme="4"/>
      <name val="Arial"/>
      <family val="2"/>
    </font>
    <font>
      <b/>
      <sz val="8"/>
      <color theme="4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8" tint="-0.249977111117893"/>
      <name val="Arial"/>
      <family val="2"/>
    </font>
    <font>
      <sz val="5"/>
      <color rgb="FFFF0000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7" fillId="0" borderId="0"/>
    <xf numFmtId="0" fontId="3" fillId="0" borderId="0"/>
    <xf numFmtId="0" fontId="3" fillId="0" borderId="0"/>
    <xf numFmtId="0" fontId="37" fillId="0" borderId="0"/>
    <xf numFmtId="9" fontId="1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59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0" fillId="0" borderId="0" xfId="0" applyBorder="1"/>
    <xf numFmtId="9" fontId="0" fillId="0" borderId="0" xfId="11" applyFont="1"/>
    <xf numFmtId="0" fontId="9" fillId="0" borderId="0" xfId="0" applyFont="1"/>
    <xf numFmtId="0" fontId="8" fillId="0" borderId="0" xfId="0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0" fontId="8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2" xfId="0" applyFont="1" applyBorder="1"/>
    <xf numFmtId="0" fontId="20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" fontId="21" fillId="0" borderId="5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17" fillId="0" borderId="0" xfId="0" applyFont="1"/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17" fontId="21" fillId="0" borderId="2" xfId="0" applyNumberFormat="1" applyFont="1" applyBorder="1" applyAlignment="1">
      <alignment horizontal="left"/>
    </xf>
    <xf numFmtId="167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167" fontId="1" fillId="0" borderId="1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7" xfId="0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7" fontId="0" fillId="0" borderId="0" xfId="0" applyNumberFormat="1"/>
    <xf numFmtId="0" fontId="18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3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" fontId="2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27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7" fillId="0" borderId="0" xfId="7"/>
    <xf numFmtId="0" fontId="17" fillId="0" borderId="0" xfId="7" applyFont="1" applyAlignment="1">
      <alignment horizontal="center"/>
    </xf>
    <xf numFmtId="0" fontId="3" fillId="0" borderId="0" xfId="7" applyFont="1"/>
    <xf numFmtId="0" fontId="3" fillId="0" borderId="2" xfId="7" applyFont="1" applyBorder="1"/>
    <xf numFmtId="0" fontId="19" fillId="0" borderId="14" xfId="7" applyFont="1" applyBorder="1" applyAlignment="1">
      <alignment horizontal="center" vertical="center" wrapText="1"/>
    </xf>
    <xf numFmtId="0" fontId="19" fillId="0" borderId="3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4" xfId="7" applyFont="1" applyBorder="1" applyAlignment="1">
      <alignment horizontal="center" vertical="center" wrapText="1"/>
    </xf>
    <xf numFmtId="17" fontId="21" fillId="0" borderId="5" xfId="7" applyNumberFormat="1" applyFont="1" applyBorder="1" applyAlignment="1">
      <alignment horizontal="left"/>
    </xf>
    <xf numFmtId="0" fontId="1" fillId="0" borderId="5" xfId="7" applyFont="1" applyBorder="1"/>
    <xf numFmtId="0" fontId="22" fillId="0" borderId="0" xfId="7" applyFont="1"/>
    <xf numFmtId="0" fontId="5" fillId="0" borderId="0" xfId="7" applyFont="1"/>
    <xf numFmtId="166" fontId="3" fillId="0" borderId="0" xfId="7" applyNumberFormat="1" applyFont="1"/>
    <xf numFmtId="0" fontId="8" fillId="0" borderId="0" xfId="7" applyFont="1"/>
    <xf numFmtId="0" fontId="3" fillId="0" borderId="0" xfId="7" applyFont="1" applyAlignment="1">
      <alignment horizontal="left"/>
    </xf>
    <xf numFmtId="0" fontId="3" fillId="0" borderId="0" xfId="7" applyFont="1" applyAlignment="1">
      <alignment horizontal="center"/>
    </xf>
    <xf numFmtId="0" fontId="17" fillId="0" borderId="0" xfId="7" applyFont="1"/>
    <xf numFmtId="0" fontId="1" fillId="0" borderId="5" xfId="7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7" fontId="21" fillId="0" borderId="16" xfId="0" applyNumberFormat="1" applyFont="1" applyBorder="1" applyAlignment="1">
      <alignment horizontal="left"/>
    </xf>
    <xf numFmtId="17" fontId="21" fillId="0" borderId="14" xfId="0" applyNumberFormat="1" applyFont="1" applyBorder="1" applyAlignment="1">
      <alignment horizontal="left"/>
    </xf>
    <xf numFmtId="0" fontId="0" fillId="0" borderId="0" xfId="11" applyNumberFormat="1" applyFont="1"/>
    <xf numFmtId="167" fontId="0" fillId="0" borderId="0" xfId="11" applyNumberFormat="1" applyFont="1"/>
    <xf numFmtId="0" fontId="3" fillId="0" borderId="0" xfId="11" applyNumberFormat="1" applyFont="1"/>
    <xf numFmtId="0" fontId="0" fillId="0" borderId="0" xfId="0" applyNumberFormat="1"/>
    <xf numFmtId="1" fontId="0" fillId="0" borderId="0" xfId="11" applyNumberFormat="1" applyFont="1"/>
    <xf numFmtId="167" fontId="3" fillId="0" borderId="0" xfId="11" applyNumberFormat="1" applyFont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1" xfId="5" applyFont="1" applyBorder="1" applyAlignment="1">
      <alignment horizontal="center"/>
    </xf>
    <xf numFmtId="0" fontId="11" fillId="0" borderId="0" xfId="0" applyFont="1" applyAlignment="1">
      <alignment horizontal="left"/>
    </xf>
    <xf numFmtId="166" fontId="0" fillId="0" borderId="0" xfId="5" applyFont="1"/>
    <xf numFmtId="0" fontId="0" fillId="0" borderId="17" xfId="0" applyBorder="1"/>
    <xf numFmtId="17" fontId="21" fillId="0" borderId="18" xfId="0" applyNumberFormat="1" applyFont="1" applyBorder="1" applyAlignment="1">
      <alignment horizontal="left"/>
    </xf>
    <xf numFmtId="4" fontId="0" fillId="0" borderId="0" xfId="11" applyNumberFormat="1" applyFont="1"/>
    <xf numFmtId="1" fontId="3" fillId="0" borderId="0" xfId="11" applyNumberFormat="1" applyFont="1"/>
    <xf numFmtId="166" fontId="3" fillId="0" borderId="0" xfId="5" applyFont="1"/>
    <xf numFmtId="167" fontId="1" fillId="0" borderId="19" xfId="0" applyNumberFormat="1" applyFont="1" applyBorder="1" applyAlignment="1">
      <alignment horizontal="center"/>
    </xf>
    <xf numFmtId="9" fontId="1" fillId="0" borderId="0" xfId="1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44" fontId="9" fillId="0" borderId="5" xfId="6" applyFont="1" applyBorder="1" applyAlignment="1">
      <alignment horizontal="center"/>
    </xf>
    <xf numFmtId="167" fontId="9" fillId="0" borderId="5" xfId="7" applyNumberFormat="1" applyFont="1" applyBorder="1" applyAlignment="1">
      <alignment horizontal="center"/>
    </xf>
    <xf numFmtId="0" fontId="41" fillId="0" borderId="0" xfId="7" applyFont="1"/>
    <xf numFmtId="167" fontId="5" fillId="0" borderId="5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42" fillId="0" borderId="0" xfId="0" applyFont="1"/>
    <xf numFmtId="1" fontId="1" fillId="0" borderId="0" xfId="0" applyNumberFormat="1" applyFont="1" applyBorder="1" applyAlignment="1">
      <alignment horizontal="center"/>
    </xf>
    <xf numFmtId="0" fontId="33" fillId="0" borderId="0" xfId="0" applyFont="1" applyFill="1" applyBorder="1" applyAlignment="1">
      <alignment horizontal="left" vertical="top"/>
    </xf>
    <xf numFmtId="0" fontId="17" fillId="0" borderId="0" xfId="0" applyFont="1" applyAlignment="1">
      <alignment vertical="center"/>
    </xf>
    <xf numFmtId="0" fontId="17" fillId="0" borderId="0" xfId="7" applyFont="1" applyAlignment="1">
      <alignment vertical="center"/>
    </xf>
    <xf numFmtId="0" fontId="8" fillId="0" borderId="0" xfId="0" applyFont="1" applyAlignment="1">
      <alignment horizontal="right"/>
    </xf>
    <xf numFmtId="167" fontId="43" fillId="0" borderId="0" xfId="0" applyNumberFormat="1" applyFont="1"/>
    <xf numFmtId="0" fontId="5" fillId="0" borderId="27" xfId="0" applyFont="1" applyBorder="1" applyAlignment="1">
      <alignment horizontal="center"/>
    </xf>
    <xf numFmtId="0" fontId="3" fillId="0" borderId="2" xfId="9" applyFont="1" applyBorder="1"/>
    <xf numFmtId="0" fontId="19" fillId="0" borderId="14" xfId="9" applyFont="1" applyBorder="1" applyAlignment="1">
      <alignment horizontal="center" vertical="center" wrapText="1"/>
    </xf>
    <xf numFmtId="0" fontId="20" fillId="0" borderId="2" xfId="9" applyFont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center" vertical="center" wrapText="1"/>
    </xf>
    <xf numFmtId="0" fontId="19" fillId="0" borderId="4" xfId="9" applyFont="1" applyBorder="1" applyAlignment="1">
      <alignment horizontal="center" vertical="center" wrapText="1"/>
    </xf>
    <xf numFmtId="0" fontId="20" fillId="0" borderId="15" xfId="9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17" fontId="34" fillId="0" borderId="29" xfId="0" applyNumberFormat="1" applyFont="1" applyBorder="1" applyAlignment="1">
      <alignment horizontal="left"/>
    </xf>
    <xf numFmtId="17" fontId="34" fillId="0" borderId="30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" fontId="35" fillId="0" borderId="32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66" fontId="5" fillId="0" borderId="38" xfId="5" applyFont="1" applyBorder="1" applyAlignment="1">
      <alignment horizontal="center"/>
    </xf>
    <xf numFmtId="17" fontId="5" fillId="0" borderId="39" xfId="0" applyNumberFormat="1" applyFont="1" applyBorder="1" applyAlignment="1">
      <alignment horizontal="center"/>
    </xf>
    <xf numFmtId="17" fontId="5" fillId="0" borderId="40" xfId="0" applyNumberFormat="1" applyFont="1" applyBorder="1" applyAlignment="1">
      <alignment horizontal="center"/>
    </xf>
    <xf numFmtId="17" fontId="5" fillId="0" borderId="41" xfId="0" applyNumberFormat="1" applyFont="1" applyBorder="1" applyAlignment="1">
      <alignment horizontal="center"/>
    </xf>
    <xf numFmtId="17" fontId="5" fillId="0" borderId="42" xfId="0" applyNumberFormat="1" applyFont="1" applyBorder="1" applyAlignment="1">
      <alignment horizontal="center"/>
    </xf>
    <xf numFmtId="166" fontId="5" fillId="0" borderId="0" xfId="0" applyNumberFormat="1" applyFont="1"/>
    <xf numFmtId="0" fontId="7" fillId="2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7" fontId="3" fillId="0" borderId="0" xfId="7" applyNumberFormat="1" applyFont="1"/>
    <xf numFmtId="166" fontId="1" fillId="0" borderId="6" xfId="4" applyFont="1" applyBorder="1" applyAlignment="1">
      <alignment horizontal="center"/>
    </xf>
    <xf numFmtId="0" fontId="7" fillId="0" borderId="47" xfId="0" applyFont="1" applyBorder="1" applyAlignment="1">
      <alignment horizontal="center" vertical="center" wrapText="1" shrinkToFit="1"/>
    </xf>
    <xf numFmtId="0" fontId="7" fillId="0" borderId="48" xfId="0" applyFont="1" applyBorder="1" applyAlignment="1">
      <alignment horizontal="center" vertical="center" wrapText="1" shrinkToFit="1"/>
    </xf>
    <xf numFmtId="166" fontId="5" fillId="0" borderId="49" xfId="5" applyFont="1" applyBorder="1" applyAlignment="1">
      <alignment horizontal="center"/>
    </xf>
    <xf numFmtId="17" fontId="5" fillId="0" borderId="50" xfId="0" applyNumberFormat="1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7" fillId="0" borderId="51" xfId="0" applyFont="1" applyBorder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wrapText="1" shrinkToFit="1"/>
    </xf>
    <xf numFmtId="166" fontId="5" fillId="0" borderId="54" xfId="5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166" fontId="6" fillId="0" borderId="55" xfId="4" applyFont="1" applyBorder="1" applyAlignment="1">
      <alignment horizontal="center"/>
    </xf>
    <xf numFmtId="166" fontId="6" fillId="0" borderId="56" xfId="4" applyFont="1" applyBorder="1" applyAlignment="1">
      <alignment horizontal="center"/>
    </xf>
    <xf numFmtId="0" fontId="0" fillId="0" borderId="57" xfId="0" applyBorder="1"/>
    <xf numFmtId="0" fontId="44" fillId="0" borderId="0" xfId="7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44" fontId="44" fillId="0" borderId="0" xfId="6" applyFont="1" applyAlignment="1">
      <alignment horizontal="left" vertical="center"/>
    </xf>
    <xf numFmtId="0" fontId="45" fillId="0" borderId="0" xfId="7" applyFont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/>
    <xf numFmtId="1" fontId="6" fillId="0" borderId="0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32" fillId="0" borderId="41" xfId="0" applyNumberFormat="1" applyFont="1" applyFill="1" applyBorder="1" applyAlignment="1">
      <alignment horizontal="left" vertical="center" wrapText="1"/>
    </xf>
    <xf numFmtId="1" fontId="17" fillId="0" borderId="41" xfId="0" applyNumberFormat="1" applyFont="1" applyFill="1" applyBorder="1" applyAlignment="1">
      <alignment horizontal="left" vertical="center" wrapText="1"/>
    </xf>
    <xf numFmtId="37" fontId="8" fillId="0" borderId="59" xfId="0" applyNumberFormat="1" applyFont="1" applyFill="1" applyBorder="1" applyAlignment="1">
      <alignment horizontal="center"/>
    </xf>
    <xf numFmtId="37" fontId="8" fillId="0" borderId="60" xfId="0" applyNumberFormat="1" applyFont="1" applyFill="1" applyBorder="1" applyAlignment="1">
      <alignment horizontal="center"/>
    </xf>
    <xf numFmtId="167" fontId="32" fillId="0" borderId="61" xfId="0" applyNumberFormat="1" applyFont="1" applyBorder="1" applyAlignment="1">
      <alignment horizontal="left" vertical="center" wrapText="1"/>
    </xf>
    <xf numFmtId="167" fontId="32" fillId="0" borderId="41" xfId="0" applyNumberFormat="1" applyFont="1" applyBorder="1" applyAlignment="1">
      <alignment horizontal="left" vertical="center" wrapText="1"/>
    </xf>
    <xf numFmtId="167" fontId="32" fillId="0" borderId="62" xfId="0" applyNumberFormat="1" applyFont="1" applyBorder="1" applyAlignment="1">
      <alignment horizontal="left" vertical="center" wrapText="1"/>
    </xf>
    <xf numFmtId="167" fontId="5" fillId="0" borderId="41" xfId="0" applyNumberFormat="1" applyFont="1" applyBorder="1" applyAlignment="1">
      <alignment horizontal="center"/>
    </xf>
    <xf numFmtId="168" fontId="5" fillId="0" borderId="0" xfId="5" applyNumberFormat="1" applyFont="1" applyBorder="1"/>
    <xf numFmtId="167" fontId="5" fillId="0" borderId="41" xfId="0" applyNumberFormat="1" applyFont="1" applyFill="1" applyBorder="1" applyAlignment="1">
      <alignment horizontal="center"/>
    </xf>
    <xf numFmtId="168" fontId="5" fillId="0" borderId="41" xfId="5" applyNumberFormat="1" applyFont="1" applyBorder="1"/>
    <xf numFmtId="168" fontId="5" fillId="0" borderId="41" xfId="5" applyNumberFormat="1" applyFont="1" applyBorder="1" applyAlignment="1">
      <alignment horizontal="center"/>
    </xf>
    <xf numFmtId="168" fontId="5" fillId="0" borderId="41" xfId="5" applyNumberFormat="1" applyFont="1" applyFill="1" applyBorder="1" applyAlignment="1">
      <alignment horizontal="center"/>
    </xf>
    <xf numFmtId="168" fontId="5" fillId="0" borderId="62" xfId="5" applyNumberFormat="1" applyFont="1" applyFill="1" applyBorder="1" applyAlignment="1">
      <alignment horizontal="center"/>
    </xf>
    <xf numFmtId="167" fontId="5" fillId="0" borderId="51" xfId="0" applyNumberFormat="1" applyFont="1" applyBorder="1" applyAlignment="1">
      <alignment horizontal="center"/>
    </xf>
    <xf numFmtId="167" fontId="5" fillId="0" borderId="47" xfId="0" applyNumberFormat="1" applyFont="1" applyBorder="1" applyAlignment="1">
      <alignment horizontal="center"/>
    </xf>
    <xf numFmtId="167" fontId="5" fillId="0" borderId="63" xfId="0" applyNumberFormat="1" applyFont="1" applyBorder="1" applyAlignment="1">
      <alignment horizontal="center"/>
    </xf>
    <xf numFmtId="167" fontId="5" fillId="0" borderId="38" xfId="0" applyNumberFormat="1" applyFont="1" applyBorder="1" applyAlignment="1">
      <alignment horizontal="center"/>
    </xf>
    <xf numFmtId="1" fontId="11" fillId="0" borderId="41" xfId="0" applyNumberFormat="1" applyFont="1" applyFill="1" applyBorder="1" applyAlignment="1">
      <alignment horizontal="left"/>
    </xf>
    <xf numFmtId="1" fontId="5" fillId="0" borderId="41" xfId="0" applyNumberFormat="1" applyFont="1" applyFill="1" applyBorder="1" applyAlignment="1">
      <alignment horizontal="left"/>
    </xf>
    <xf numFmtId="0" fontId="5" fillId="0" borderId="41" xfId="0" applyFont="1" applyFill="1" applyBorder="1" applyAlignment="1">
      <alignment horizontal="left" wrapText="1"/>
    </xf>
    <xf numFmtId="1" fontId="5" fillId="0" borderId="42" xfId="0" applyNumberFormat="1" applyFont="1" applyFill="1" applyBorder="1" applyAlignment="1">
      <alignment horizontal="left"/>
    </xf>
    <xf numFmtId="1" fontId="5" fillId="0" borderId="63" xfId="0" applyNumberFormat="1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63" xfId="0" applyFont="1" applyFill="1" applyBorder="1" applyAlignment="1">
      <alignment horizontal="left"/>
    </xf>
    <xf numFmtId="1" fontId="32" fillId="0" borderId="42" xfId="0" applyNumberFormat="1" applyFont="1" applyFill="1" applyBorder="1" applyAlignment="1">
      <alignment horizontal="left" vertical="center" wrapText="1"/>
    </xf>
    <xf numFmtId="0" fontId="6" fillId="0" borderId="64" xfId="0" applyFont="1" applyBorder="1" applyAlignment="1">
      <alignment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" fontId="9" fillId="0" borderId="65" xfId="0" applyNumberFormat="1" applyFont="1" applyBorder="1" applyAlignment="1">
      <alignment horizontal="center" vertical="center"/>
    </xf>
    <xf numFmtId="1" fontId="6" fillId="0" borderId="64" xfId="0" applyNumberFormat="1" applyFont="1" applyFill="1" applyBorder="1" applyAlignment="1">
      <alignment horizontal="center" vertical="center"/>
    </xf>
    <xf numFmtId="1" fontId="6" fillId="0" borderId="65" xfId="0" applyNumberFormat="1" applyFont="1" applyFill="1" applyBorder="1" applyAlignment="1">
      <alignment horizontal="center" vertical="center"/>
    </xf>
    <xf numFmtId="1" fontId="6" fillId="0" borderId="47" xfId="0" applyNumberFormat="1" applyFont="1" applyFill="1" applyBorder="1" applyAlignment="1">
      <alignment horizontal="center" vertical="center"/>
    </xf>
    <xf numFmtId="1" fontId="11" fillId="0" borderId="61" xfId="0" applyNumberFormat="1" applyFont="1" applyFill="1" applyBorder="1" applyAlignment="1">
      <alignment horizontal="left"/>
    </xf>
    <xf numFmtId="0" fontId="5" fillId="0" borderId="41" xfId="0" applyFont="1" applyBorder="1"/>
    <xf numFmtId="1" fontId="11" fillId="0" borderId="62" xfId="0" applyNumberFormat="1" applyFont="1" applyFill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5" xfId="0" applyFont="1" applyBorder="1" applyAlignment="1">
      <alignment horizontal="center" wrapText="1"/>
    </xf>
    <xf numFmtId="1" fontId="5" fillId="0" borderId="54" xfId="0" applyNumberFormat="1" applyFont="1" applyFill="1" applyBorder="1" applyAlignment="1">
      <alignment horizontal="center"/>
    </xf>
    <xf numFmtId="1" fontId="5" fillId="0" borderId="63" xfId="0" applyNumberFormat="1" applyFont="1" applyFill="1" applyBorder="1" applyAlignment="1">
      <alignment horizontal="center"/>
    </xf>
    <xf numFmtId="1" fontId="5" fillId="0" borderId="66" xfId="0" applyNumberFormat="1" applyFont="1" applyFill="1" applyBorder="1" applyAlignment="1">
      <alignment horizontal="center"/>
    </xf>
    <xf numFmtId="1" fontId="5" fillId="0" borderId="41" xfId="0" applyNumberFormat="1" applyFont="1" applyFill="1" applyBorder="1" applyAlignment="1">
      <alignment horizontal="center"/>
    </xf>
    <xf numFmtId="1" fontId="5" fillId="0" borderId="59" xfId="0" applyNumberFormat="1" applyFont="1" applyFill="1" applyBorder="1" applyAlignment="1">
      <alignment horizontal="center"/>
    </xf>
    <xf numFmtId="1" fontId="5" fillId="0" borderId="67" xfId="0" applyNumberFormat="1" applyFont="1" applyFill="1" applyBorder="1" applyAlignment="1">
      <alignment horizontal="center"/>
    </xf>
    <xf numFmtId="0" fontId="5" fillId="0" borderId="59" xfId="0" applyFont="1" applyBorder="1" applyAlignment="1">
      <alignment horizontal="center" vertical="center"/>
    </xf>
    <xf numFmtId="1" fontId="5" fillId="0" borderId="60" xfId="0" applyNumberFormat="1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1" fontId="6" fillId="0" borderId="69" xfId="0" applyNumberFormat="1" applyFont="1" applyBorder="1" applyAlignment="1">
      <alignment horizontal="center" vertical="center"/>
    </xf>
    <xf numFmtId="37" fontId="5" fillId="0" borderId="66" xfId="0" applyNumberFormat="1" applyFont="1" applyFill="1" applyBorder="1" applyAlignment="1">
      <alignment horizontal="center"/>
    </xf>
    <xf numFmtId="37" fontId="5" fillId="0" borderId="59" xfId="0" applyNumberFormat="1" applyFont="1" applyFill="1" applyBorder="1" applyAlignment="1">
      <alignment horizontal="center"/>
    </xf>
    <xf numFmtId="37" fontId="5" fillId="0" borderId="70" xfId="0" applyNumberFormat="1" applyFont="1" applyFill="1" applyBorder="1" applyAlignment="1">
      <alignment horizontal="center"/>
    </xf>
    <xf numFmtId="1" fontId="6" fillId="0" borderId="56" xfId="0" applyNumberFormat="1" applyFont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left" vertical="center" wrapText="1"/>
    </xf>
    <xf numFmtId="0" fontId="32" fillId="0" borderId="41" xfId="0" applyFont="1" applyFill="1" applyBorder="1" applyAlignment="1">
      <alignment horizontal="center"/>
    </xf>
    <xf numFmtId="0" fontId="32" fillId="0" borderId="62" xfId="0" applyFont="1" applyFill="1" applyBorder="1" applyAlignment="1">
      <alignment horizontal="center"/>
    </xf>
    <xf numFmtId="0" fontId="5" fillId="0" borderId="7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37" fontId="5" fillId="0" borderId="66" xfId="0" applyNumberFormat="1" applyFont="1" applyBorder="1" applyAlignment="1">
      <alignment horizontal="center"/>
    </xf>
    <xf numFmtId="37" fontId="5" fillId="0" borderId="59" xfId="0" applyNumberFormat="1" applyFont="1" applyBorder="1" applyAlignment="1">
      <alignment horizontal="center"/>
    </xf>
    <xf numFmtId="37" fontId="5" fillId="0" borderId="60" xfId="0" applyNumberFormat="1" applyFont="1" applyFill="1" applyBorder="1" applyAlignment="1">
      <alignment horizontal="center"/>
    </xf>
    <xf numFmtId="0" fontId="6" fillId="0" borderId="64" xfId="0" applyFont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37" fontId="9" fillId="0" borderId="58" xfId="0" applyNumberFormat="1" applyFont="1" applyFill="1" applyBorder="1" applyAlignment="1">
      <alignment horizontal="center"/>
    </xf>
    <xf numFmtId="37" fontId="6" fillId="0" borderId="69" xfId="0" applyNumberFormat="1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 vertical="center"/>
    </xf>
    <xf numFmtId="37" fontId="5" fillId="0" borderId="68" xfId="0" applyNumberFormat="1" applyFont="1" applyFill="1" applyBorder="1" applyAlignment="1">
      <alignment horizontal="center"/>
    </xf>
    <xf numFmtId="37" fontId="5" fillId="0" borderId="0" xfId="0" applyNumberFormat="1" applyFont="1"/>
    <xf numFmtId="0" fontId="5" fillId="0" borderId="73" xfId="0" applyFont="1" applyFill="1" applyBorder="1" applyAlignment="1">
      <alignment horizontal="center"/>
    </xf>
    <xf numFmtId="0" fontId="5" fillId="0" borderId="74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166" fontId="5" fillId="3" borderId="49" xfId="5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wrapText="1"/>
    </xf>
    <xf numFmtId="17" fontId="46" fillId="0" borderId="5" xfId="7" applyNumberFormat="1" applyFont="1" applyBorder="1" applyAlignment="1">
      <alignment horizontal="left"/>
    </xf>
    <xf numFmtId="0" fontId="46" fillId="0" borderId="5" xfId="7" applyFont="1" applyBorder="1" applyAlignment="1">
      <alignment horizontal="center"/>
    </xf>
    <xf numFmtId="44" fontId="46" fillId="0" borderId="5" xfId="6" applyFont="1" applyBorder="1" applyAlignment="1">
      <alignment horizontal="center"/>
    </xf>
    <xf numFmtId="167" fontId="46" fillId="0" borderId="5" xfId="7" applyNumberFormat="1" applyFont="1" applyBorder="1" applyAlignment="1">
      <alignment horizontal="center"/>
    </xf>
    <xf numFmtId="44" fontId="37" fillId="0" borderId="5" xfId="6" applyFont="1" applyBorder="1"/>
    <xf numFmtId="17" fontId="46" fillId="0" borderId="5" xfId="9" applyNumberFormat="1" applyFont="1" applyBorder="1" applyAlignment="1">
      <alignment horizontal="left"/>
    </xf>
    <xf numFmtId="0" fontId="47" fillId="0" borderId="5" xfId="7" applyFont="1" applyBorder="1"/>
    <xf numFmtId="0" fontId="47" fillId="0" borderId="6" xfId="0" applyFont="1" applyBorder="1" applyAlignment="1">
      <alignment horizontal="center"/>
    </xf>
    <xf numFmtId="44" fontId="47" fillId="0" borderId="6" xfId="0" applyNumberFormat="1" applyFont="1" applyBorder="1" applyAlignment="1">
      <alignment horizontal="center"/>
    </xf>
    <xf numFmtId="167" fontId="47" fillId="0" borderId="6" xfId="0" applyNumberFormat="1" applyFont="1" applyBorder="1" applyAlignment="1">
      <alignment horizontal="center"/>
    </xf>
    <xf numFmtId="167" fontId="4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1" fontId="6" fillId="0" borderId="5" xfId="0" applyNumberFormat="1" applyFont="1" applyBorder="1" applyAlignment="1">
      <alignment horizontal="center" vertical="center" wrapText="1"/>
    </xf>
    <xf numFmtId="37" fontId="6" fillId="0" borderId="43" xfId="0" applyNumberFormat="1" applyFont="1" applyFill="1" applyBorder="1" applyAlignment="1">
      <alignment horizontal="center"/>
    </xf>
    <xf numFmtId="17" fontId="3" fillId="0" borderId="16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166" fontId="3" fillId="0" borderId="5" xfId="4" applyFont="1" applyBorder="1" applyAlignment="1">
      <alignment horizontal="center" vertical="center"/>
    </xf>
    <xf numFmtId="17" fontId="3" fillId="0" borderId="76" xfId="0" applyNumberFormat="1" applyFont="1" applyBorder="1" applyAlignment="1">
      <alignment horizontal="left"/>
    </xf>
    <xf numFmtId="0" fontId="3" fillId="0" borderId="5" xfId="7" applyFont="1" applyBorder="1" applyAlignment="1">
      <alignment horizontal="center"/>
    </xf>
    <xf numFmtId="44" fontId="48" fillId="0" borderId="5" xfId="6" applyFont="1" applyBorder="1"/>
    <xf numFmtId="167" fontId="3" fillId="0" borderId="5" xfId="7" applyNumberFormat="1" applyFont="1" applyBorder="1" applyAlignment="1">
      <alignment horizontal="center"/>
    </xf>
    <xf numFmtId="0" fontId="49" fillId="0" borderId="0" xfId="0" applyFont="1"/>
    <xf numFmtId="1" fontId="6" fillId="0" borderId="65" xfId="0" applyNumberFormat="1" applyFont="1" applyBorder="1" applyAlignment="1">
      <alignment horizontal="center" vertical="center"/>
    </xf>
    <xf numFmtId="0" fontId="0" fillId="0" borderId="0" xfId="0" applyFont="1"/>
    <xf numFmtId="44" fontId="50" fillId="0" borderId="5" xfId="6" applyFont="1" applyBorder="1"/>
    <xf numFmtId="0" fontId="3" fillId="0" borderId="0" xfId="0" applyFont="1" applyAlignment="1">
      <alignment vertical="center"/>
    </xf>
    <xf numFmtId="0" fontId="51" fillId="0" borderId="5" xfId="0" applyFont="1" applyBorder="1" applyAlignment="1">
      <alignment horizontal="center" wrapText="1"/>
    </xf>
    <xf numFmtId="0" fontId="52" fillId="0" borderId="5" xfId="0" applyFont="1" applyBorder="1" applyAlignment="1">
      <alignment horizontal="center" wrapText="1"/>
    </xf>
    <xf numFmtId="0" fontId="51" fillId="0" borderId="5" xfId="0" applyFont="1" applyBorder="1" applyAlignment="1">
      <alignment horizontal="center"/>
    </xf>
    <xf numFmtId="0" fontId="39" fillId="0" borderId="5" xfId="0" applyFont="1" applyBorder="1" applyAlignment="1">
      <alignment horizontal="center" wrapText="1"/>
    </xf>
    <xf numFmtId="0" fontId="39" fillId="0" borderId="5" xfId="0" applyFont="1" applyBorder="1" applyAlignment="1">
      <alignment horizontal="center"/>
    </xf>
    <xf numFmtId="0" fontId="53" fillId="0" borderId="5" xfId="0" applyFont="1" applyBorder="1" applyAlignment="1">
      <alignment horizontal="center" wrapText="1"/>
    </xf>
    <xf numFmtId="169" fontId="51" fillId="0" borderId="5" xfId="0" applyNumberFormat="1" applyFont="1" applyBorder="1" applyAlignment="1">
      <alignment horizontal="center" wrapText="1"/>
    </xf>
    <xf numFmtId="0" fontId="52" fillId="0" borderId="5" xfId="0" applyFont="1" applyBorder="1" applyAlignment="1">
      <alignment horizontal="left" wrapText="1"/>
    </xf>
    <xf numFmtId="169" fontId="52" fillId="0" borderId="5" xfId="0" applyNumberFormat="1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right"/>
    </xf>
    <xf numFmtId="0" fontId="43" fillId="0" borderId="0" xfId="0" applyFont="1"/>
    <xf numFmtId="0" fontId="56" fillId="0" borderId="0" xfId="0" applyFont="1" applyAlignment="1">
      <alignment horizontal="center" wrapText="1"/>
    </xf>
    <xf numFmtId="166" fontId="42" fillId="0" borderId="77" xfId="5" applyFont="1" applyBorder="1" applyAlignment="1">
      <alignment horizontal="center"/>
    </xf>
    <xf numFmtId="164" fontId="43" fillId="0" borderId="0" xfId="0" applyNumberFormat="1" applyFont="1"/>
    <xf numFmtId="166" fontId="43" fillId="0" borderId="0" xfId="0" applyNumberFormat="1" applyFont="1"/>
    <xf numFmtId="44" fontId="43" fillId="0" borderId="0" xfId="0" applyNumberFormat="1" applyFont="1"/>
    <xf numFmtId="166" fontId="42" fillId="0" borderId="0" xfId="5" applyFont="1" applyFill="1" applyBorder="1" applyAlignment="1">
      <alignment horizontal="center"/>
    </xf>
    <xf numFmtId="166" fontId="58" fillId="0" borderId="45" xfId="4" applyFont="1" applyBorder="1" applyAlignment="1">
      <alignment horizontal="center"/>
    </xf>
    <xf numFmtId="166" fontId="58" fillId="0" borderId="0" xfId="4" applyFont="1" applyBorder="1" applyAlignment="1">
      <alignment horizontal="center"/>
    </xf>
    <xf numFmtId="164" fontId="59" fillId="0" borderId="0" xfId="11" applyNumberFormat="1" applyFont="1"/>
    <xf numFmtId="0" fontId="42" fillId="0" borderId="75" xfId="0" applyFont="1" applyBorder="1"/>
    <xf numFmtId="9" fontId="43" fillId="0" borderId="0" xfId="11" applyFont="1"/>
    <xf numFmtId="0" fontId="59" fillId="0" borderId="0" xfId="0" applyFont="1"/>
    <xf numFmtId="44" fontId="3" fillId="0" borderId="0" xfId="0" applyNumberFormat="1" applyFont="1"/>
    <xf numFmtId="17" fontId="60" fillId="0" borderId="81" xfId="0" applyNumberFormat="1" applyFont="1" applyBorder="1" applyAlignment="1">
      <alignment horizontal="left"/>
    </xf>
    <xf numFmtId="0" fontId="61" fillId="2" borderId="82" xfId="0" applyFont="1" applyFill="1" applyBorder="1" applyAlignment="1">
      <alignment horizontal="center"/>
    </xf>
    <xf numFmtId="0" fontId="62" fillId="0" borderId="82" xfId="0" applyFont="1" applyBorder="1" applyAlignment="1">
      <alignment horizontal="center"/>
    </xf>
    <xf numFmtId="0" fontId="62" fillId="0" borderId="8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1" fillId="2" borderId="84" xfId="0" applyFont="1" applyFill="1" applyBorder="1" applyAlignment="1">
      <alignment horizontal="center"/>
    </xf>
    <xf numFmtId="0" fontId="63" fillId="2" borderId="71" xfId="0" applyFont="1" applyFill="1" applyBorder="1" applyAlignment="1">
      <alignment horizontal="center"/>
    </xf>
    <xf numFmtId="0" fontId="64" fillId="0" borderId="79" xfId="0" applyFont="1" applyBorder="1" applyAlignment="1">
      <alignment horizontal="center"/>
    </xf>
    <xf numFmtId="17" fontId="60" fillId="0" borderId="85" xfId="0" applyNumberFormat="1" applyFont="1" applyBorder="1" applyAlignment="1">
      <alignment horizontal="left"/>
    </xf>
    <xf numFmtId="0" fontId="61" fillId="2" borderId="20" xfId="0" applyFont="1" applyFill="1" applyBorder="1" applyAlignment="1">
      <alignment horizontal="center"/>
    </xf>
    <xf numFmtId="0" fontId="62" fillId="0" borderId="20" xfId="0" applyFont="1" applyBorder="1" applyAlignment="1">
      <alignment horizontal="center"/>
    </xf>
    <xf numFmtId="0" fontId="63" fillId="2" borderId="18" xfId="0" applyFont="1" applyFill="1" applyBorder="1" applyAlignment="1">
      <alignment horizontal="center"/>
    </xf>
    <xf numFmtId="1" fontId="61" fillId="2" borderId="20" xfId="0" applyNumberFormat="1" applyFont="1" applyFill="1" applyBorder="1" applyAlignment="1">
      <alignment horizontal="center"/>
    </xf>
    <xf numFmtId="0" fontId="64" fillId="0" borderId="67" xfId="0" applyFont="1" applyBorder="1" applyAlignment="1">
      <alignment horizontal="center"/>
    </xf>
    <xf numFmtId="17" fontId="60" fillId="0" borderId="86" xfId="0" applyNumberFormat="1" applyFont="1" applyBorder="1" applyAlignment="1">
      <alignment horizontal="left"/>
    </xf>
    <xf numFmtId="0" fontId="44" fillId="0" borderId="0" xfId="0" applyFont="1" applyFill="1" applyAlignment="1">
      <alignment horizontal="right" vertical="center"/>
    </xf>
    <xf numFmtId="0" fontId="45" fillId="0" borderId="0" xfId="7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5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/>
    </xf>
    <xf numFmtId="44" fontId="44" fillId="0" borderId="0" xfId="6" applyFont="1" applyFill="1" applyAlignment="1">
      <alignment horizontal="left" vertical="center"/>
    </xf>
    <xf numFmtId="0" fontId="11" fillId="0" borderId="0" xfId="7" applyFont="1" applyFill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17" fontId="65" fillId="0" borderId="87" xfId="0" applyNumberFormat="1" applyFont="1" applyBorder="1" applyAlignment="1">
      <alignment horizontal="left"/>
    </xf>
    <xf numFmtId="0" fontId="66" fillId="2" borderId="20" xfId="0" applyFont="1" applyFill="1" applyBorder="1" applyAlignment="1">
      <alignment horizontal="center"/>
    </xf>
    <xf numFmtId="0" fontId="67" fillId="0" borderId="20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8" fillId="2" borderId="18" xfId="0" applyFont="1" applyFill="1" applyBorder="1" applyAlignment="1">
      <alignment horizontal="center"/>
    </xf>
    <xf numFmtId="0" fontId="68" fillId="0" borderId="28" xfId="0" applyFont="1" applyBorder="1" applyAlignment="1">
      <alignment horizontal="center"/>
    </xf>
    <xf numFmtId="17" fontId="65" fillId="0" borderId="88" xfId="0" applyNumberFormat="1" applyFont="1" applyBorder="1" applyAlignment="1">
      <alignment horizontal="left"/>
    </xf>
    <xf numFmtId="171" fontId="43" fillId="0" borderId="0" xfId="0" applyNumberFormat="1" applyFont="1"/>
    <xf numFmtId="0" fontId="69" fillId="0" borderId="0" xfId="0" applyFont="1"/>
    <xf numFmtId="0" fontId="70" fillId="0" borderId="0" xfId="0" applyFont="1"/>
    <xf numFmtId="0" fontId="49" fillId="0" borderId="0" xfId="0" applyFont="1" applyAlignment="1">
      <alignment horizontal="right"/>
    </xf>
    <xf numFmtId="44" fontId="71" fillId="0" borderId="0" xfId="0" applyNumberFormat="1" applyFont="1"/>
    <xf numFmtId="0" fontId="72" fillId="0" borderId="0" xfId="0" applyFont="1" applyAlignment="1">
      <alignment vertical="center"/>
    </xf>
    <xf numFmtId="0" fontId="73" fillId="0" borderId="0" xfId="0" applyFont="1"/>
    <xf numFmtId="0" fontId="58" fillId="0" borderId="0" xfId="0" applyFont="1"/>
    <xf numFmtId="0" fontId="74" fillId="0" borderId="0" xfId="0" applyFont="1"/>
    <xf numFmtId="44" fontId="42" fillId="0" borderId="0" xfId="0" applyNumberFormat="1" applyFont="1"/>
    <xf numFmtId="166" fontId="58" fillId="0" borderId="0" xfId="0" applyNumberFormat="1" applyFont="1"/>
    <xf numFmtId="0" fontId="43" fillId="0" borderId="75" xfId="0" applyFont="1" applyBorder="1"/>
    <xf numFmtId="0" fontId="43" fillId="0" borderId="0" xfId="0" applyFont="1" applyAlignment="1">
      <alignment horizontal="left"/>
    </xf>
    <xf numFmtId="0" fontId="57" fillId="0" borderId="0" xfId="0" applyFont="1"/>
    <xf numFmtId="0" fontId="59" fillId="0" borderId="0" xfId="0" applyFont="1" applyAlignment="1">
      <alignment horizontal="left"/>
    </xf>
    <xf numFmtId="3" fontId="43" fillId="0" borderId="0" xfId="0" applyNumberFormat="1" applyFont="1"/>
    <xf numFmtId="16" fontId="43" fillId="0" borderId="0" xfId="0" applyNumberFormat="1" applyFont="1" applyAlignment="1">
      <alignment horizontal="right"/>
    </xf>
    <xf numFmtId="17" fontId="43" fillId="0" borderId="0" xfId="0" applyNumberFormat="1" applyFont="1" applyAlignment="1">
      <alignment horizontal="right"/>
    </xf>
    <xf numFmtId="166" fontId="0" fillId="0" borderId="0" xfId="4" applyFont="1"/>
    <xf numFmtId="0" fontId="78" fillId="0" borderId="104" xfId="0" applyFont="1" applyBorder="1" applyAlignment="1">
      <alignment horizontal="center"/>
    </xf>
    <xf numFmtId="0" fontId="54" fillId="0" borderId="17" xfId="0" applyFont="1" applyBorder="1" applyAlignment="1">
      <alignment horizontal="center" wrapText="1"/>
    </xf>
    <xf numFmtId="49" fontId="54" fillId="0" borderId="104" xfId="0" applyNumberFormat="1" applyFont="1" applyBorder="1" applyAlignment="1">
      <alignment horizontal="center"/>
    </xf>
    <xf numFmtId="0" fontId="54" fillId="0" borderId="104" xfId="0" applyFont="1" applyBorder="1" applyAlignment="1">
      <alignment wrapText="1"/>
    </xf>
    <xf numFmtId="0" fontId="54" fillId="0" borderId="104" xfId="0" applyFont="1" applyBorder="1" applyAlignment="1">
      <alignment horizontal="center"/>
    </xf>
    <xf numFmtId="166" fontId="54" fillId="0" borderId="104" xfId="4" applyFont="1" applyBorder="1" applyAlignment="1"/>
    <xf numFmtId="166" fontId="54" fillId="0" borderId="104" xfId="4" applyFont="1" applyBorder="1"/>
    <xf numFmtId="169" fontId="55" fillId="0" borderId="17" xfId="0" applyNumberFormat="1" applyFont="1" applyBorder="1" applyAlignment="1">
      <alignment horizontal="center" wrapText="1"/>
    </xf>
    <xf numFmtId="49" fontId="55" fillId="0" borderId="104" xfId="0" applyNumberFormat="1" applyFont="1" applyBorder="1" applyAlignment="1">
      <alignment horizontal="left" wrapText="1"/>
    </xf>
    <xf numFmtId="169" fontId="78" fillId="0" borderId="5" xfId="0" applyNumberFormat="1" applyFont="1" applyBorder="1" applyAlignment="1">
      <alignment horizontal="center"/>
    </xf>
    <xf numFmtId="0" fontId="54" fillId="3" borderId="5" xfId="0" applyFont="1" applyFill="1" applyBorder="1" applyAlignment="1">
      <alignment horizontal="center"/>
    </xf>
    <xf numFmtId="0" fontId="54" fillId="3" borderId="38" xfId="0" applyFont="1" applyFill="1" applyBorder="1" applyAlignment="1">
      <alignment horizontal="center"/>
    </xf>
    <xf numFmtId="0" fontId="54" fillId="3" borderId="102" xfId="0" applyFont="1" applyFill="1" applyBorder="1" applyAlignment="1">
      <alignment horizontal="center"/>
    </xf>
    <xf numFmtId="0" fontId="54" fillId="3" borderId="104" xfId="0" applyFont="1" applyFill="1" applyBorder="1" applyAlignment="1">
      <alignment horizontal="center"/>
    </xf>
    <xf numFmtId="0" fontId="41" fillId="3" borderId="102" xfId="0" applyFont="1" applyFill="1" applyBorder="1" applyAlignment="1">
      <alignment wrapText="1"/>
    </xf>
    <xf numFmtId="0" fontId="41" fillId="3" borderId="5" xfId="0" applyFont="1" applyFill="1" applyBorder="1" applyAlignment="1">
      <alignment wrapText="1"/>
    </xf>
    <xf numFmtId="0" fontId="41" fillId="3" borderId="38" xfId="0" applyFont="1" applyFill="1" applyBorder="1" applyAlignment="1">
      <alignment wrapText="1"/>
    </xf>
    <xf numFmtId="0" fontId="55" fillId="3" borderId="38" xfId="0" applyFont="1" applyFill="1" applyBorder="1" applyAlignment="1">
      <alignment wrapText="1"/>
    </xf>
    <xf numFmtId="0" fontId="55" fillId="3" borderId="5" xfId="0" applyFont="1" applyFill="1" applyBorder="1" applyAlignment="1">
      <alignment wrapText="1"/>
    </xf>
    <xf numFmtId="0" fontId="41" fillId="3" borderId="38" xfId="0" applyFont="1" applyFill="1" applyBorder="1" applyAlignment="1">
      <alignment vertical="center" wrapText="1"/>
    </xf>
    <xf numFmtId="49" fontId="55" fillId="3" borderId="5" xfId="0" applyNumberFormat="1" applyFont="1" applyFill="1" applyBorder="1" applyAlignment="1">
      <alignment horizontal="left" wrapText="1"/>
    </xf>
    <xf numFmtId="49" fontId="41" fillId="3" borderId="5" xfId="0" applyNumberFormat="1" applyFont="1" applyFill="1" applyBorder="1" applyAlignment="1">
      <alignment horizontal="left" wrapText="1"/>
    </xf>
    <xf numFmtId="49" fontId="55" fillId="3" borderId="104" xfId="0" applyNumberFormat="1" applyFont="1" applyFill="1" applyBorder="1" applyAlignment="1">
      <alignment horizontal="left" wrapText="1"/>
    </xf>
    <xf numFmtId="0" fontId="44" fillId="3" borderId="102" xfId="0" applyFont="1" applyFill="1" applyBorder="1" applyAlignment="1">
      <alignment horizontal="left" wrapText="1"/>
    </xf>
    <xf numFmtId="0" fontId="44" fillId="3" borderId="5" xfId="0" applyFont="1" applyFill="1" applyBorder="1" applyAlignment="1">
      <alignment horizontal="left" vertical="center" wrapText="1"/>
    </xf>
    <xf numFmtId="0" fontId="44" fillId="3" borderId="5" xfId="0" applyFont="1" applyFill="1" applyBorder="1" applyAlignment="1">
      <alignment horizontal="left" wrapText="1"/>
    </xf>
    <xf numFmtId="0" fontId="44" fillId="3" borderId="38" xfId="0" applyFont="1" applyFill="1" applyBorder="1" applyAlignment="1">
      <alignment horizontal="left" wrapText="1"/>
    </xf>
    <xf numFmtId="0" fontId="44" fillId="3" borderId="38" xfId="0" applyFont="1" applyFill="1" applyBorder="1" applyAlignment="1">
      <alignment horizontal="left" vertical="center" wrapText="1"/>
    </xf>
    <xf numFmtId="0" fontId="44" fillId="3" borderId="104" xfId="0" applyFont="1" applyFill="1" applyBorder="1" applyAlignment="1">
      <alignment horizontal="left" wrapText="1"/>
    </xf>
    <xf numFmtId="166" fontId="54" fillId="3" borderId="102" xfId="4" applyFont="1" applyFill="1" applyBorder="1"/>
    <xf numFmtId="166" fontId="54" fillId="3" borderId="5" xfId="4" applyFont="1" applyFill="1" applyBorder="1"/>
    <xf numFmtId="166" fontId="54" fillId="3" borderId="38" xfId="4" applyFont="1" applyFill="1" applyBorder="1"/>
    <xf numFmtId="166" fontId="54" fillId="3" borderId="5" xfId="4" applyFont="1" applyFill="1" applyBorder="1" applyAlignment="1"/>
    <xf numFmtId="166" fontId="54" fillId="3" borderId="104" xfId="4" applyFont="1" applyFill="1" applyBorder="1" applyAlignment="1"/>
    <xf numFmtId="0" fontId="11" fillId="4" borderId="0" xfId="0" applyFont="1" applyFill="1" applyAlignment="1">
      <alignment horizontal="left" vertical="center"/>
    </xf>
    <xf numFmtId="0" fontId="75" fillId="3" borderId="89" xfId="0" applyFont="1" applyFill="1" applyBorder="1" applyAlignment="1">
      <alignment horizontal="center"/>
    </xf>
    <xf numFmtId="0" fontId="54" fillId="3" borderId="102" xfId="0" applyFont="1" applyFill="1" applyBorder="1" applyAlignment="1">
      <alignment horizontal="center" wrapText="1"/>
    </xf>
    <xf numFmtId="49" fontId="76" fillId="3" borderId="103" xfId="0" applyNumberFormat="1" applyFont="1" applyFill="1" applyBorder="1" applyAlignment="1">
      <alignment horizontal="center"/>
    </xf>
    <xf numFmtId="0" fontId="54" fillId="3" borderId="103" xfId="0" applyFont="1" applyFill="1" applyBorder="1" applyAlignment="1">
      <alignment wrapText="1"/>
    </xf>
    <xf numFmtId="1" fontId="54" fillId="3" borderId="102" xfId="0" applyNumberFormat="1" applyFont="1" applyFill="1" applyBorder="1" applyAlignment="1">
      <alignment horizontal="center"/>
    </xf>
    <xf numFmtId="169" fontId="55" fillId="3" borderId="102" xfId="0" applyNumberFormat="1" applyFont="1" applyFill="1" applyBorder="1" applyAlignment="1">
      <alignment horizontal="center" wrapText="1"/>
    </xf>
    <xf numFmtId="0" fontId="55" fillId="3" borderId="102" xfId="0" applyFont="1" applyFill="1" applyBorder="1" applyAlignment="1">
      <alignment wrapText="1"/>
    </xf>
    <xf numFmtId="169" fontId="54" fillId="3" borderId="38" xfId="0" applyNumberFormat="1" applyFont="1" applyFill="1" applyBorder="1" applyAlignment="1">
      <alignment horizontal="center"/>
    </xf>
    <xf numFmtId="0" fontId="54" fillId="3" borderId="38" xfId="0" applyFont="1" applyFill="1" applyBorder="1" applyAlignment="1">
      <alignment horizontal="center" wrapText="1"/>
    </xf>
    <xf numFmtId="49" fontId="54" fillId="3" borderId="5" xfId="0" applyNumberFormat="1" applyFont="1" applyFill="1" applyBorder="1" applyAlignment="1">
      <alignment horizontal="center"/>
    </xf>
    <xf numFmtId="0" fontId="54" fillId="3" borderId="5" xfId="0" applyFont="1" applyFill="1" applyBorder="1" applyAlignment="1">
      <alignment wrapText="1"/>
    </xf>
    <xf numFmtId="1" fontId="54" fillId="3" borderId="5" xfId="0" applyNumberFormat="1" applyFont="1" applyFill="1" applyBorder="1" applyAlignment="1">
      <alignment horizontal="center"/>
    </xf>
    <xf numFmtId="169" fontId="55" fillId="3" borderId="5" xfId="0" applyNumberFormat="1" applyFont="1" applyFill="1" applyBorder="1" applyAlignment="1">
      <alignment horizontal="center" wrapText="1"/>
    </xf>
    <xf numFmtId="169" fontId="54" fillId="3" borderId="5" xfId="0" applyNumberFormat="1" applyFont="1" applyFill="1" applyBorder="1" applyAlignment="1">
      <alignment horizontal="center"/>
    </xf>
    <xf numFmtId="49" fontId="54" fillId="3" borderId="38" xfId="0" applyNumberFormat="1" applyFont="1" applyFill="1" applyBorder="1" applyAlignment="1">
      <alignment horizontal="center"/>
    </xf>
    <xf numFmtId="0" fontId="54" fillId="3" borderId="38" xfId="0" applyFont="1" applyFill="1" applyBorder="1" applyAlignment="1">
      <alignment wrapText="1"/>
    </xf>
    <xf numFmtId="169" fontId="55" fillId="3" borderId="38" xfId="0" applyNumberFormat="1" applyFont="1" applyFill="1" applyBorder="1" applyAlignment="1">
      <alignment horizontal="center" wrapText="1"/>
    </xf>
    <xf numFmtId="0" fontId="77" fillId="3" borderId="5" xfId="0" applyFont="1" applyFill="1" applyBorder="1" applyAlignment="1">
      <alignment wrapText="1"/>
    </xf>
    <xf numFmtId="0" fontId="76" fillId="3" borderId="5" xfId="0" applyFont="1" applyFill="1" applyBorder="1" applyAlignment="1">
      <alignment wrapText="1"/>
    </xf>
    <xf numFmtId="1" fontId="54" fillId="3" borderId="38" xfId="0" applyNumberFormat="1" applyFont="1" applyFill="1" applyBorder="1" applyAlignment="1">
      <alignment horizontal="center"/>
    </xf>
    <xf numFmtId="49" fontId="76" fillId="3" borderId="5" xfId="0" applyNumberFormat="1" applyFont="1" applyFill="1" applyBorder="1" applyAlignment="1">
      <alignment horizontal="center"/>
    </xf>
    <xf numFmtId="166" fontId="76" fillId="3" borderId="5" xfId="4" applyFont="1" applyFill="1" applyBorder="1" applyAlignment="1"/>
    <xf numFmtId="0" fontId="78" fillId="3" borderId="5" xfId="0" applyFont="1" applyFill="1" applyBorder="1" applyAlignment="1">
      <alignment horizontal="center"/>
    </xf>
    <xf numFmtId="0" fontId="75" fillId="0" borderId="89" xfId="0" applyFont="1" applyBorder="1" applyAlignment="1">
      <alignment horizontal="center"/>
    </xf>
    <xf numFmtId="0" fontId="54" fillId="0" borderId="5" xfId="0" applyFont="1" applyBorder="1" applyAlignment="1">
      <alignment horizontal="center" wrapText="1"/>
    </xf>
    <xf numFmtId="49" fontId="54" fillId="0" borderId="89" xfId="0" applyNumberFormat="1" applyFont="1" applyBorder="1" applyAlignment="1">
      <alignment horizontal="center"/>
    </xf>
    <xf numFmtId="0" fontId="54" fillId="0" borderId="89" xfId="0" applyFont="1" applyBorder="1" applyAlignment="1">
      <alignment wrapText="1"/>
    </xf>
    <xf numFmtId="0" fontId="54" fillId="0" borderId="89" xfId="0" applyFont="1" applyBorder="1" applyAlignment="1">
      <alignment horizontal="center"/>
    </xf>
    <xf numFmtId="166" fontId="54" fillId="0" borderId="89" xfId="4" applyFont="1" applyBorder="1" applyAlignment="1"/>
    <xf numFmtId="166" fontId="54" fillId="0" borderId="89" xfId="4" applyFont="1" applyBorder="1"/>
    <xf numFmtId="169" fontId="55" fillId="0" borderId="89" xfId="0" applyNumberFormat="1" applyFont="1" applyBorder="1" applyAlignment="1">
      <alignment horizontal="center" wrapText="1"/>
    </xf>
    <xf numFmtId="0" fontId="41" fillId="0" borderId="89" xfId="0" applyFont="1" applyBorder="1" applyAlignment="1">
      <alignment horizontal="left" vertical="center" wrapText="1"/>
    </xf>
    <xf numFmtId="49" fontId="55" fillId="0" borderId="89" xfId="0" applyNumberFormat="1" applyFont="1" applyBorder="1" applyAlignment="1">
      <alignment horizontal="left" wrapText="1"/>
    </xf>
    <xf numFmtId="169" fontId="78" fillId="0" borderId="89" xfId="0" applyNumberFormat="1" applyFont="1" applyBorder="1" applyAlignment="1">
      <alignment horizontal="center"/>
    </xf>
    <xf numFmtId="0" fontId="54" fillId="0" borderId="5" xfId="0" applyFont="1" applyBorder="1" applyAlignment="1">
      <alignment horizontal="center"/>
    </xf>
    <xf numFmtId="49" fontId="76" fillId="0" borderId="5" xfId="0" applyNumberFormat="1" applyFont="1" applyBorder="1" applyAlignment="1">
      <alignment horizontal="center"/>
    </xf>
    <xf numFmtId="0" fontId="54" fillId="0" borderId="5" xfId="0" applyFont="1" applyBorder="1" applyAlignment="1">
      <alignment wrapText="1"/>
    </xf>
    <xf numFmtId="166" fontId="54" fillId="0" borderId="5" xfId="4" applyFont="1" applyBorder="1" applyAlignment="1"/>
    <xf numFmtId="166" fontId="54" fillId="0" borderId="5" xfId="4" applyFont="1" applyBorder="1"/>
    <xf numFmtId="169" fontId="55" fillId="0" borderId="38" xfId="0" applyNumberFormat="1" applyFont="1" applyBorder="1" applyAlignment="1">
      <alignment horizontal="center" wrapText="1"/>
    </xf>
    <xf numFmtId="0" fontId="41" fillId="0" borderId="5" xfId="0" applyFont="1" applyBorder="1" applyAlignment="1">
      <alignment horizontal="left" wrapText="1"/>
    </xf>
    <xf numFmtId="49" fontId="55" fillId="0" borderId="5" xfId="0" applyNumberFormat="1" applyFont="1" applyBorder="1" applyAlignment="1">
      <alignment horizontal="left" wrapText="1"/>
    </xf>
    <xf numFmtId="169" fontId="54" fillId="0" borderId="5" xfId="0" applyNumberFormat="1" applyFont="1" applyBorder="1" applyAlignment="1">
      <alignment horizontal="center"/>
    </xf>
    <xf numFmtId="49" fontId="54" fillId="0" borderId="5" xfId="0" applyNumberFormat="1" applyFont="1" applyBorder="1" applyAlignment="1">
      <alignment horizontal="center"/>
    </xf>
    <xf numFmtId="169" fontId="55" fillId="0" borderId="5" xfId="0" applyNumberFormat="1" applyFont="1" applyBorder="1" applyAlignment="1">
      <alignment horizontal="center" wrapText="1"/>
    </xf>
    <xf numFmtId="0" fontId="41" fillId="0" borderId="5" xfId="0" applyFont="1" applyBorder="1" applyAlignment="1">
      <alignment horizontal="left" vertical="center" wrapText="1"/>
    </xf>
    <xf numFmtId="49" fontId="77" fillId="0" borderId="5" xfId="0" applyNumberFormat="1" applyFont="1" applyBorder="1" applyAlignment="1">
      <alignment horizontal="left" wrapText="1"/>
    </xf>
    <xf numFmtId="0" fontId="76" fillId="0" borderId="38" xfId="0" applyFont="1" applyBorder="1" applyAlignment="1">
      <alignment horizontal="center" wrapText="1"/>
    </xf>
    <xf numFmtId="49" fontId="41" fillId="0" borderId="5" xfId="0" applyNumberFormat="1" applyFont="1" applyBorder="1" applyAlignment="1">
      <alignment horizontal="left" wrapText="1"/>
    </xf>
    <xf numFmtId="0" fontId="76" fillId="0" borderId="5" xfId="0" applyFont="1" applyBorder="1" applyAlignment="1">
      <alignment wrapText="1"/>
    </xf>
    <xf numFmtId="0" fontId="76" fillId="0" borderId="5" xfId="0" applyFont="1" applyBorder="1" applyAlignment="1">
      <alignment horizontal="center"/>
    </xf>
    <xf numFmtId="49" fontId="55" fillId="0" borderId="5" xfId="0" applyNumberFormat="1" applyFont="1" applyBorder="1" applyAlignment="1">
      <alignment horizontal="left" vertical="center" wrapText="1"/>
    </xf>
    <xf numFmtId="166" fontId="3" fillId="0" borderId="5" xfId="5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46" fillId="3" borderId="5" xfId="7" applyNumberFormat="1" applyFont="1" applyFill="1" applyBorder="1" applyAlignment="1">
      <alignment horizontal="center"/>
    </xf>
    <xf numFmtId="17" fontId="5" fillId="3" borderId="39" xfId="0" applyNumberFormat="1" applyFont="1" applyFill="1" applyBorder="1" applyAlignment="1">
      <alignment horizontal="center"/>
    </xf>
    <xf numFmtId="166" fontId="5" fillId="3" borderId="38" xfId="5" applyFont="1" applyFill="1" applyBorder="1" applyAlignment="1">
      <alignment horizontal="center"/>
    </xf>
    <xf numFmtId="166" fontId="5" fillId="3" borderId="54" xfId="5" applyFont="1" applyFill="1" applyBorder="1" applyAlignment="1">
      <alignment horizontal="center"/>
    </xf>
    <xf numFmtId="166" fontId="42" fillId="3" borderId="77" xfId="5" applyFont="1" applyFill="1" applyBorder="1" applyAlignment="1">
      <alignment horizontal="center"/>
    </xf>
    <xf numFmtId="166" fontId="43" fillId="3" borderId="0" xfId="0" applyNumberFormat="1" applyFont="1" applyFill="1"/>
    <xf numFmtId="0" fontId="43" fillId="3" borderId="0" xfId="0" applyFont="1" applyFill="1"/>
    <xf numFmtId="0" fontId="49" fillId="3" borderId="0" xfId="0" applyFont="1" applyFill="1"/>
    <xf numFmtId="44" fontId="71" fillId="3" borderId="0" xfId="0" applyNumberFormat="1" applyFont="1" applyFill="1"/>
    <xf numFmtId="44" fontId="3" fillId="3" borderId="0" xfId="0" applyNumberFormat="1" applyFont="1" applyFill="1"/>
    <xf numFmtId="0" fontId="3" fillId="3" borderId="0" xfId="0" applyFont="1" applyFill="1"/>
    <xf numFmtId="17" fontId="5" fillId="0" borderId="39" xfId="0" applyNumberFormat="1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166" fontId="5" fillId="0" borderId="49" xfId="5" applyFont="1" applyFill="1" applyBorder="1" applyAlignment="1">
      <alignment horizontal="center"/>
    </xf>
    <xf numFmtId="166" fontId="5" fillId="0" borderId="38" xfId="5" applyFont="1" applyFill="1" applyBorder="1" applyAlignment="1">
      <alignment horizontal="center"/>
    </xf>
    <xf numFmtId="166" fontId="5" fillId="0" borderId="54" xfId="5" applyFont="1" applyFill="1" applyBorder="1" applyAlignment="1">
      <alignment horizontal="center"/>
    </xf>
    <xf numFmtId="166" fontId="42" fillId="0" borderId="77" xfId="5" applyFont="1" applyFill="1" applyBorder="1" applyAlignment="1">
      <alignment horizontal="center"/>
    </xf>
    <xf numFmtId="166" fontId="43" fillId="0" borderId="0" xfId="0" applyNumberFormat="1" applyFont="1" applyFill="1"/>
    <xf numFmtId="0" fontId="43" fillId="0" borderId="0" xfId="0" applyFont="1" applyFill="1"/>
    <xf numFmtId="0" fontId="49" fillId="0" borderId="0" xfId="0" applyFont="1" applyFill="1"/>
    <xf numFmtId="44" fontId="71" fillId="0" borderId="0" xfId="0" applyNumberFormat="1" applyFont="1" applyFill="1"/>
    <xf numFmtId="44" fontId="3" fillId="0" borderId="0" xfId="0" applyNumberFormat="1" applyFont="1" applyFill="1"/>
    <xf numFmtId="0" fontId="3" fillId="0" borderId="0" xfId="0" applyFont="1" applyFill="1"/>
    <xf numFmtId="44" fontId="43" fillId="0" borderId="0" xfId="0" applyNumberFormat="1" applyFont="1" applyFill="1"/>
    <xf numFmtId="44" fontId="57" fillId="3" borderId="0" xfId="0" applyNumberFormat="1" applyFont="1" applyFill="1"/>
    <xf numFmtId="0" fontId="1" fillId="0" borderId="0" xfId="0" applyFont="1" applyAlignment="1">
      <alignment horizontal="center"/>
    </xf>
    <xf numFmtId="0" fontId="7" fillId="0" borderId="89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 wrapText="1" shrinkToFit="1"/>
    </xf>
    <xf numFmtId="0" fontId="33" fillId="0" borderId="89" xfId="0" applyFont="1" applyBorder="1" applyAlignment="1">
      <alignment horizontal="center" vertical="center" wrapText="1" shrinkToFit="1"/>
    </xf>
    <xf numFmtId="0" fontId="33" fillId="0" borderId="51" xfId="0" applyFont="1" applyBorder="1" applyAlignment="1">
      <alignment horizontal="center" vertical="center" wrapText="1" shrinkToFit="1"/>
    </xf>
    <xf numFmtId="0" fontId="7" fillId="0" borderId="61" xfId="0" applyFont="1" applyBorder="1" applyAlignment="1">
      <alignment horizontal="center" vertical="center" wrapText="1" shrinkToFit="1"/>
    </xf>
    <xf numFmtId="0" fontId="7" fillId="0" borderId="62" xfId="0" applyFont="1" applyBorder="1" applyAlignment="1">
      <alignment horizontal="center" vertical="center" wrapText="1" shrinkToFit="1"/>
    </xf>
    <xf numFmtId="0" fontId="7" fillId="0" borderId="90" xfId="0" applyFont="1" applyBorder="1" applyAlignment="1">
      <alignment horizontal="center" vertical="center" wrapText="1" shrinkToFit="1"/>
    </xf>
    <xf numFmtId="0" fontId="7" fillId="0" borderId="91" xfId="0" applyFont="1" applyBorder="1" applyAlignment="1">
      <alignment horizontal="center" vertical="center" wrapText="1" shrinkToFit="1"/>
    </xf>
    <xf numFmtId="0" fontId="7" fillId="0" borderId="92" xfId="0" applyFont="1" applyBorder="1" applyAlignment="1">
      <alignment horizontal="center" vertical="center" wrapText="1" shrinkToFit="1"/>
    </xf>
    <xf numFmtId="0" fontId="56" fillId="0" borderId="80" xfId="0" applyFont="1" applyBorder="1" applyAlignment="1">
      <alignment horizontal="center" vertical="center" wrapText="1" shrinkToFit="1"/>
    </xf>
    <xf numFmtId="0" fontId="56" fillId="0" borderId="93" xfId="0" applyFont="1" applyBorder="1" applyAlignment="1">
      <alignment horizontal="center" vertical="center" wrapText="1" shrinkToFit="1"/>
    </xf>
    <xf numFmtId="0" fontId="3" fillId="0" borderId="46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7" fillId="0" borderId="94" xfId="0" applyFont="1" applyBorder="1" applyAlignment="1">
      <alignment horizontal="center" vertical="center" wrapText="1" shrinkToFit="1"/>
    </xf>
    <xf numFmtId="0" fontId="7" fillId="0" borderId="48" xfId="0" applyFont="1" applyBorder="1" applyAlignment="1">
      <alignment horizontal="center" vertical="center" wrapText="1" shrinkToFit="1"/>
    </xf>
    <xf numFmtId="0" fontId="20" fillId="0" borderId="0" xfId="7" applyFont="1" applyAlignment="1">
      <alignment horizontal="center"/>
    </xf>
    <xf numFmtId="0" fontId="20" fillId="0" borderId="95" xfId="9" applyFont="1" applyBorder="1" applyAlignment="1">
      <alignment horizontal="center" vertical="center" wrapText="1"/>
    </xf>
    <xf numFmtId="0" fontId="20" fillId="0" borderId="96" xfId="9" applyFont="1" applyBorder="1" applyAlignment="1">
      <alignment horizontal="center" vertical="center" wrapText="1"/>
    </xf>
    <xf numFmtId="0" fontId="20" fillId="0" borderId="97" xfId="9" applyFont="1" applyBorder="1" applyAlignment="1">
      <alignment horizontal="center" vertical="center" wrapText="1"/>
    </xf>
    <xf numFmtId="0" fontId="23" fillId="0" borderId="98" xfId="7" applyFont="1" applyBorder="1" applyAlignment="1">
      <alignment horizontal="center"/>
    </xf>
    <xf numFmtId="0" fontId="19" fillId="0" borderId="95" xfId="7" applyFont="1" applyBorder="1" applyAlignment="1">
      <alignment horizontal="center" wrapText="1"/>
    </xf>
    <xf numFmtId="0" fontId="19" fillId="0" borderId="96" xfId="7" applyFont="1" applyBorder="1" applyAlignment="1">
      <alignment horizontal="center" wrapText="1"/>
    </xf>
    <xf numFmtId="0" fontId="19" fillId="0" borderId="97" xfId="7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95" xfId="0" applyFont="1" applyBorder="1" applyAlignment="1">
      <alignment horizontal="center" wrapText="1"/>
    </xf>
    <xf numFmtId="0" fontId="19" fillId="0" borderId="96" xfId="0" applyFont="1" applyBorder="1" applyAlignment="1">
      <alignment horizontal="center" wrapText="1"/>
    </xf>
    <xf numFmtId="0" fontId="19" fillId="0" borderId="97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64" xfId="0" applyFont="1" applyFill="1" applyBorder="1" applyAlignment="1">
      <alignment horizontal="center"/>
    </xf>
    <xf numFmtId="0" fontId="9" fillId="0" borderId="65" xfId="0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47" xfId="0" applyFont="1" applyBorder="1" applyAlignment="1">
      <alignment horizontal="center" wrapText="1"/>
    </xf>
    <xf numFmtId="0" fontId="9" fillId="0" borderId="6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0" fontId="6" fillId="0" borderId="56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10" fillId="0" borderId="46" xfId="0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67" fontId="9" fillId="0" borderId="46" xfId="0" applyNumberFormat="1" applyFont="1" applyBorder="1" applyAlignment="1">
      <alignment horizontal="center"/>
    </xf>
    <xf numFmtId="167" fontId="9" fillId="0" borderId="58" xfId="0" applyNumberFormat="1" applyFont="1" applyBorder="1" applyAlignment="1">
      <alignment horizontal="center"/>
    </xf>
    <xf numFmtId="0" fontId="59" fillId="0" borderId="78" xfId="0" applyFont="1" applyFill="1" applyBorder="1" applyAlignment="1">
      <alignment horizontal="center"/>
    </xf>
    <xf numFmtId="0" fontId="59" fillId="0" borderId="99" xfId="0" applyFont="1" applyFill="1" applyBorder="1" applyAlignment="1">
      <alignment horizontal="center"/>
    </xf>
    <xf numFmtId="0" fontId="7" fillId="0" borderId="47" xfId="0" applyFont="1" applyBorder="1" applyAlignment="1">
      <alignment horizontal="center" wrapText="1"/>
    </xf>
    <xf numFmtId="0" fontId="7" fillId="0" borderId="48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wrapText="1"/>
    </xf>
    <xf numFmtId="0" fontId="32" fillId="0" borderId="46" xfId="0" applyFont="1" applyFill="1" applyBorder="1" applyAlignment="1">
      <alignment horizontal="center"/>
    </xf>
    <xf numFmtId="0" fontId="32" fillId="0" borderId="78" xfId="0" applyFont="1" applyFill="1" applyBorder="1" applyAlignment="1">
      <alignment horizontal="center"/>
    </xf>
    <xf numFmtId="0" fontId="32" fillId="0" borderId="58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58" xfId="0" applyFont="1" applyFill="1" applyBorder="1" applyAlignment="1">
      <alignment horizontal="center"/>
    </xf>
    <xf numFmtId="0" fontId="9" fillId="0" borderId="46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 wrapText="1"/>
    </xf>
    <xf numFmtId="0" fontId="45" fillId="0" borderId="0" xfId="7" applyFont="1" applyBorder="1" applyAlignment="1">
      <alignment horizontal="center" vertical="center" wrapText="1"/>
    </xf>
  </cellXfs>
  <cellStyles count="14">
    <cellStyle name="Euro" xfId="1"/>
    <cellStyle name="Euro 2" xfId="2"/>
    <cellStyle name="Hipervínculo 2" xfId="3"/>
    <cellStyle name="Moneda" xfId="4" builtinId="4"/>
    <cellStyle name="Moneda 2" xfId="5"/>
    <cellStyle name="Moneda 3" xfId="6"/>
    <cellStyle name="Normal" xfId="0" builtinId="0"/>
    <cellStyle name="Normal 2" xfId="7"/>
    <cellStyle name="Normal 2 2" xfId="8"/>
    <cellStyle name="Normal 3" xfId="9"/>
    <cellStyle name="Normal 3 2" xfId="10"/>
    <cellStyle name="Porcentaje" xfId="11" builtinId="5"/>
    <cellStyle name="Porcentaje 2" xfId="12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1</xdr:col>
      <xdr:colOff>95250</xdr:colOff>
      <xdr:row>7</xdr:row>
      <xdr:rowOff>28575</xdr:rowOff>
    </xdr:to>
    <xdr:pic>
      <xdr:nvPicPr>
        <xdr:cNvPr id="1841" name="Imagen 2">
          <a:extLst>
            <a:ext uri="{FF2B5EF4-FFF2-40B4-BE49-F238E27FC236}">
              <a16:creationId xmlns:a16="http://schemas.microsoft.com/office/drawing/2014/main" xmlns="" id="{00000000-0008-0000-0200-00003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742950</xdr:colOff>
      <xdr:row>2</xdr:row>
      <xdr:rowOff>161925</xdr:rowOff>
    </xdr:to>
    <xdr:pic>
      <xdr:nvPicPr>
        <xdr:cNvPr id="4912" name="Imagen 2">
          <a:extLst>
            <a:ext uri="{FF2B5EF4-FFF2-40B4-BE49-F238E27FC236}">
              <a16:creationId xmlns:a16="http://schemas.microsoft.com/office/drawing/2014/main" xmlns="" id="{00000000-0008-0000-0300-000030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742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28575</xdr:colOff>
      <xdr:row>2</xdr:row>
      <xdr:rowOff>104775</xdr:rowOff>
    </xdr:to>
    <xdr:pic>
      <xdr:nvPicPr>
        <xdr:cNvPr id="5936" name="Imagen 2">
          <a:extLst>
            <a:ext uri="{FF2B5EF4-FFF2-40B4-BE49-F238E27FC236}">
              <a16:creationId xmlns:a16="http://schemas.microsoft.com/office/drawing/2014/main" xmlns="" id="{00000000-0008-0000-0400-000030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85725</xdr:rowOff>
    </xdr:from>
    <xdr:to>
      <xdr:col>2</xdr:col>
      <xdr:colOff>9525</xdr:colOff>
      <xdr:row>6</xdr:row>
      <xdr:rowOff>142875</xdr:rowOff>
    </xdr:to>
    <xdr:pic>
      <xdr:nvPicPr>
        <xdr:cNvPr id="6960" name="Imagen 2">
          <a:extLst>
            <a:ext uri="{FF2B5EF4-FFF2-40B4-BE49-F238E27FC236}">
              <a16:creationId xmlns:a16="http://schemas.microsoft.com/office/drawing/2014/main" xmlns="" id="{00000000-0008-0000-0500-000030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34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381000</xdr:colOff>
      <xdr:row>3</xdr:row>
      <xdr:rowOff>19050</xdr:rowOff>
    </xdr:to>
    <xdr:pic>
      <xdr:nvPicPr>
        <xdr:cNvPr id="165092" name="Imagen 2">
          <a:extLst>
            <a:ext uri="{FF2B5EF4-FFF2-40B4-BE49-F238E27FC236}">
              <a16:creationId xmlns:a16="http://schemas.microsoft.com/office/drawing/2014/main" xmlns="" id="{00000000-0008-0000-0600-0000E48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504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381000</xdr:colOff>
      <xdr:row>3</xdr:row>
      <xdr:rowOff>19050</xdr:rowOff>
    </xdr:to>
    <xdr:pic>
      <xdr:nvPicPr>
        <xdr:cNvPr id="442404" name="Imagen 2">
          <a:extLst>
            <a:ext uri="{FF2B5EF4-FFF2-40B4-BE49-F238E27FC236}">
              <a16:creationId xmlns:a16="http://schemas.microsoft.com/office/drawing/2014/main" xmlns="" id="{00000000-0008-0000-0700-000024C00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504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263566" name="Picture 2">
          <a:extLst>
            <a:ext uri="{FF2B5EF4-FFF2-40B4-BE49-F238E27FC236}">
              <a16:creationId xmlns:a16="http://schemas.microsoft.com/office/drawing/2014/main" xmlns="" id="{00000000-0008-0000-0800-00008E05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263567" name="Picture 3">
          <a:extLst>
            <a:ext uri="{FF2B5EF4-FFF2-40B4-BE49-F238E27FC236}">
              <a16:creationId xmlns:a16="http://schemas.microsoft.com/office/drawing/2014/main" xmlns="" id="{00000000-0008-0000-0800-00008F05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38100</xdr:rowOff>
    </xdr:from>
    <xdr:to>
      <xdr:col>2</xdr:col>
      <xdr:colOff>333375</xdr:colOff>
      <xdr:row>3</xdr:row>
      <xdr:rowOff>95250</xdr:rowOff>
    </xdr:to>
    <xdr:pic>
      <xdr:nvPicPr>
        <xdr:cNvPr id="263568" name="Imagen 4">
          <a:extLst>
            <a:ext uri="{FF2B5EF4-FFF2-40B4-BE49-F238E27FC236}">
              <a16:creationId xmlns:a16="http://schemas.microsoft.com/office/drawing/2014/main" xmlns="" id="{00000000-0008-0000-0800-00009005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4</xdr:row>
      <xdr:rowOff>333375</xdr:rowOff>
    </xdr:to>
    <xdr:pic>
      <xdr:nvPicPr>
        <xdr:cNvPr id="18124" name="2 Imagen" descr="C:\Documents and Settings\Silvia.Henriquez\Mis documentos\AÑO 2014\logo de la Caja.JPG">
          <a:extLst>
            <a:ext uri="{FF2B5EF4-FFF2-40B4-BE49-F238E27FC236}">
              <a16:creationId xmlns:a16="http://schemas.microsoft.com/office/drawing/2014/main" xmlns="" id="{00000000-0008-0000-0900-0000CC4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4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4"/>
  <sheetViews>
    <sheetView topLeftCell="A9" zoomScale="106" zoomScaleNormal="106" workbookViewId="0">
      <selection activeCell="E12" sqref="E12"/>
    </sheetView>
  </sheetViews>
  <sheetFormatPr baseColWidth="10" defaultRowHeight="12.75" x14ac:dyDescent="0.2"/>
  <cols>
    <col min="1" max="2" width="8" style="2" customWidth="1"/>
    <col min="3" max="3" width="7.85546875" style="2" customWidth="1"/>
    <col min="4" max="4" width="8" style="2" customWidth="1"/>
    <col min="5" max="5" width="7.7109375" style="2" customWidth="1"/>
    <col min="6" max="6" width="8.28515625" style="2" customWidth="1"/>
    <col min="7" max="7" width="13.5703125" style="2" customWidth="1"/>
    <col min="8" max="8" width="15.5703125" style="2" customWidth="1"/>
    <col min="9" max="9" width="12.5703125" style="2" customWidth="1"/>
    <col min="10" max="10" width="13" style="2" customWidth="1"/>
    <col min="11" max="11" width="11.5703125" style="2" customWidth="1"/>
    <col min="12" max="12" width="11.28515625" style="2" customWidth="1"/>
    <col min="13" max="13" width="11.85546875" style="2" customWidth="1"/>
    <col min="14" max="14" width="12.7109375" style="2" customWidth="1"/>
    <col min="15" max="15" width="12" style="2" customWidth="1"/>
    <col min="16" max="16" width="15.140625" style="312" customWidth="1"/>
    <col min="17" max="17" width="16" style="312" customWidth="1"/>
    <col min="18" max="18" width="15.42578125" style="312" customWidth="1"/>
    <col min="19" max="19" width="11.42578125" style="312"/>
    <col min="20" max="20" width="11.42578125" style="2"/>
    <col min="21" max="21" width="14" style="2" bestFit="1" customWidth="1"/>
    <col min="22" max="22" width="17.7109375" style="2" customWidth="1"/>
    <col min="23" max="16384" width="11.42578125" style="2"/>
  </cols>
  <sheetData>
    <row r="1" spans="1:22" x14ac:dyDescent="0.2">
      <c r="P1" s="359" t="s">
        <v>195</v>
      </c>
    </row>
    <row r="6" spans="1:22" x14ac:dyDescent="0.2">
      <c r="A6" s="490" t="s">
        <v>167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</row>
    <row r="7" spans="1:22" x14ac:dyDescent="0.2">
      <c r="A7" s="490" t="s">
        <v>556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</row>
    <row r="8" spans="1:22" ht="12.75" customHeight="1" thickBot="1" x14ac:dyDescent="0.25">
      <c r="B8" s="18">
        <v>2021</v>
      </c>
      <c r="C8" s="18" t="s">
        <v>561</v>
      </c>
      <c r="D8" s="18">
        <v>2021</v>
      </c>
    </row>
    <row r="9" spans="1:22" ht="12.75" customHeight="1" thickBot="1" x14ac:dyDescent="0.25">
      <c r="A9" s="495" t="s">
        <v>7</v>
      </c>
      <c r="B9" s="491" t="s">
        <v>558</v>
      </c>
      <c r="C9" s="493" t="s">
        <v>559</v>
      </c>
      <c r="D9" s="493" t="s">
        <v>560</v>
      </c>
      <c r="E9" s="498" t="s">
        <v>187</v>
      </c>
      <c r="F9" s="497"/>
      <c r="G9" s="505" t="s">
        <v>148</v>
      </c>
      <c r="H9" s="502" t="s">
        <v>161</v>
      </c>
      <c r="I9" s="503"/>
      <c r="J9" s="503"/>
      <c r="K9" s="503"/>
      <c r="L9" s="504"/>
      <c r="M9" s="497" t="s">
        <v>222</v>
      </c>
      <c r="N9" s="491" t="s">
        <v>149</v>
      </c>
      <c r="O9" s="498" t="s">
        <v>155</v>
      </c>
      <c r="P9" s="500" t="s">
        <v>1</v>
      </c>
      <c r="T9" s="296"/>
      <c r="U9" s="296"/>
    </row>
    <row r="10" spans="1:22" ht="75.75" customHeight="1" thickBot="1" x14ac:dyDescent="0.25">
      <c r="A10" s="496"/>
      <c r="B10" s="492"/>
      <c r="C10" s="494"/>
      <c r="D10" s="494"/>
      <c r="E10" s="176" t="s">
        <v>165</v>
      </c>
      <c r="F10" s="176" t="s">
        <v>166</v>
      </c>
      <c r="G10" s="506"/>
      <c r="H10" s="177" t="s">
        <v>164</v>
      </c>
      <c r="I10" s="177" t="s">
        <v>221</v>
      </c>
      <c r="J10" s="178" t="s">
        <v>18</v>
      </c>
      <c r="K10" s="171" t="s">
        <v>17</v>
      </c>
      <c r="L10" s="172" t="s">
        <v>162</v>
      </c>
      <c r="M10" s="492"/>
      <c r="N10" s="492"/>
      <c r="O10" s="499"/>
      <c r="P10" s="501"/>
      <c r="Q10" s="313"/>
      <c r="R10" s="312" t="s">
        <v>154</v>
      </c>
      <c r="S10" s="312" t="s">
        <v>212</v>
      </c>
      <c r="T10" s="296"/>
      <c r="U10" s="296"/>
    </row>
    <row r="11" spans="1:22" ht="23.1" customHeight="1" x14ac:dyDescent="0.2">
      <c r="A11" s="174" t="s">
        <v>2</v>
      </c>
      <c r="B11" s="175">
        <v>0</v>
      </c>
      <c r="C11" s="267">
        <f>1+1+1+7+10+12+14+1</f>
        <v>47</v>
      </c>
      <c r="D11" s="267">
        <f>1+3+4+1+14+20+29+35+1</f>
        <v>108</v>
      </c>
      <c r="E11" s="175">
        <f>1+1+1+2+7+7+7</f>
        <v>26</v>
      </c>
      <c r="F11" s="175">
        <f>5+3+5+14+1</f>
        <v>28</v>
      </c>
      <c r="G11" s="173">
        <f>8022.85+13142.85+13714.28+39428.55-0.02+0.03</f>
        <v>74308.539999999994</v>
      </c>
      <c r="H11" s="268">
        <f>46228.6-0.04+(17885.71+0.01-0.01+2000)+35440.01+0.02-0.04+45142.83+0.02</f>
        <v>146697.11000000002</v>
      </c>
      <c r="I11" s="268">
        <f>11428.57+30000</f>
        <v>41428.57</v>
      </c>
      <c r="J11" s="173">
        <f>1200+1142.86+1142.86+1142.86+266.67+1200+1142.86+1200+(285.72+285.71)+571.43+1200+285.72+1142.86+1142.86+571.43+1142.86</f>
        <v>15066.7</v>
      </c>
      <c r="K11" s="158">
        <v>1142.8499999999999</v>
      </c>
      <c r="L11" s="158">
        <v>0</v>
      </c>
      <c r="M11" s="173">
        <f>2285.71</f>
        <v>2285.71</v>
      </c>
      <c r="N11" s="268">
        <f>12*1142.86</f>
        <v>13714.32</v>
      </c>
      <c r="O11" s="179">
        <f>15671.51+6604.35</f>
        <v>22275.86</v>
      </c>
      <c r="P11" s="314">
        <f t="shared" ref="P11:P22" si="0">G11+H11+I11+J11+K11+L11+M11+N11+O11</f>
        <v>316919.66000000003</v>
      </c>
      <c r="Q11" s="315">
        <f>P11+'2. COMPR DEV 30%'!E9+'2. COMPR DEV 30%'!C9+'3. COMP VR'!C9+'3. COMP VR'!E9+'4. COMP VP'!D12+'4. COMP VP'!F12</f>
        <v>501513.59000000008</v>
      </c>
      <c r="R11" s="372" t="s">
        <v>213</v>
      </c>
      <c r="S11" s="373" t="s">
        <v>214</v>
      </c>
      <c r="T11" s="296"/>
      <c r="U11" s="317"/>
      <c r="V11" s="325"/>
    </row>
    <row r="12" spans="1:22" ht="23.1" customHeight="1" x14ac:dyDescent="0.2">
      <c r="A12" s="159" t="s">
        <v>3</v>
      </c>
      <c r="B12" s="175">
        <v>0</v>
      </c>
      <c r="C12" s="267">
        <f>13+1+9+15+1+1+12</f>
        <v>52</v>
      </c>
      <c r="D12" s="267">
        <f>29+2+18+30+3+2+28</f>
        <v>112</v>
      </c>
      <c r="E12" s="175">
        <f>5+3+7+1+6</f>
        <v>22</v>
      </c>
      <c r="F12" s="175">
        <f>8+1+6+8+1+6</f>
        <v>30</v>
      </c>
      <c r="G12" s="173">
        <f>16285.71+0.01-0.01+18685.72-0.02+0.01+27257.15-0.02+19885.69+0.02</f>
        <v>82114.260000000009</v>
      </c>
      <c r="H12" s="268">
        <f>63194.29+0.03-0.04+(34057.17-0.05+1371.44)+59342.86-0.02+0.02+400+55999.96-0.01+0.04</f>
        <v>214365.69</v>
      </c>
      <c r="I12" s="268">
        <v>11428.57</v>
      </c>
      <c r="J12" s="173">
        <f>1142.86+1142.86+571.43+1142.86+95.24+1028.57+285.72+1142.86+1142.86+1142.86+685.71+1142.86+200+85.72+(142.86+142.85+142.86)+1200+285.71+1200</f>
        <v>14066.689999999997</v>
      </c>
      <c r="K12" s="158">
        <v>0</v>
      </c>
      <c r="L12" s="158">
        <v>0</v>
      </c>
      <c r="M12" s="173">
        <f>571.44-0.01+1142.88-0.02+1142.87-0.01+1142.86</f>
        <v>4000.0099999999993</v>
      </c>
      <c r="N12" s="268">
        <f>17*1142.86</f>
        <v>19428.62</v>
      </c>
      <c r="O12" s="179">
        <v>0</v>
      </c>
      <c r="P12" s="314">
        <f t="shared" si="0"/>
        <v>345403.84</v>
      </c>
      <c r="Q12" s="316">
        <f>P12+'2. COMPR DEV 30%'!C10+'2. COMPR DEV 30%'!E10+'3. COMP VR'!C10+'3. COMP VR'!E10+'4. COMP VP'!D13+'4. COMP VP'!F13</f>
        <v>503137.55000000005</v>
      </c>
      <c r="R12" s="317" t="s">
        <v>215</v>
      </c>
      <c r="S12" s="312" t="s">
        <v>216</v>
      </c>
      <c r="T12" s="312" t="s">
        <v>217</v>
      </c>
      <c r="U12" s="360"/>
      <c r="V12" s="325"/>
    </row>
    <row r="13" spans="1:22" ht="23.1" customHeight="1" x14ac:dyDescent="0.2">
      <c r="A13" s="159" t="s">
        <v>4</v>
      </c>
      <c r="B13" s="175">
        <v>0</v>
      </c>
      <c r="C13" s="267">
        <f>11+1+10+1+1+16+10</f>
        <v>50</v>
      </c>
      <c r="D13" s="267">
        <f>24+2+29+5+1+39+26</f>
        <v>126</v>
      </c>
      <c r="E13" s="175">
        <f>8+7+1+9+5</f>
        <v>30</v>
      </c>
      <c r="F13" s="175">
        <f>3+1+3+1+7+5</f>
        <v>20</v>
      </c>
      <c r="G13" s="173">
        <f>(15428.56+0.01+857.14)+(19085.79-0.02+0.04+342.87)+(26571.44-0.03+0.01)+(13714.28-0.01+0.01)</f>
        <v>76000.09</v>
      </c>
      <c r="H13" s="268">
        <f>(54571.43-0.02+0.01+2857.14)+(31714.3-0.03+0.01)+(57959.96-0.02+0.06)+(43354.26-0.01+0.03)</f>
        <v>190457.12</v>
      </c>
      <c r="I13" s="268">
        <f>15000+6285.71</f>
        <v>21285.71</v>
      </c>
      <c r="J13" s="173">
        <f>1142.86+228.57+1142.86+1142.86+(380.95+380.96+380.95)+1142.86+285.71+1142.86+1142.86+800+571.43+685.71+1200+571.43+1200+1200+685.71+1142.86+1142.86+1200+142.85+(285.7+285.72)+(380.95+380.96+380.95)+571.43</f>
        <v>21342.86</v>
      </c>
      <c r="K13" s="158">
        <v>0</v>
      </c>
      <c r="L13" s="158">
        <v>0</v>
      </c>
      <c r="M13" s="173">
        <f>(571.43)+(1142.87-0.01)+(571.43)+1142.86</f>
        <v>3428.58</v>
      </c>
      <c r="N13" s="268">
        <f>24*1142.86</f>
        <v>27428.639999999999</v>
      </c>
      <c r="O13" s="179">
        <v>0</v>
      </c>
      <c r="P13" s="314">
        <f>G13+H13+I13+J13+K13+L13+M13+N13+O13</f>
        <v>339943</v>
      </c>
      <c r="Q13" s="316">
        <f>P13+'2. COMPR DEV 30%'!C11+'2. COMPR DEV 30%'!E11+'3. COMP VR'!C11+'3. COMP VR'!E11+'4. COMP VP'!D14+'4. COMP VP'!F14</f>
        <v>572511.92999999993</v>
      </c>
      <c r="R13" s="312" t="s">
        <v>219</v>
      </c>
      <c r="S13" s="312" t="s">
        <v>220</v>
      </c>
      <c r="T13" s="296"/>
      <c r="U13" s="360"/>
      <c r="V13" s="325"/>
    </row>
    <row r="14" spans="1:22" s="475" customFormat="1" ht="23.1" customHeight="1" x14ac:dyDescent="0.2">
      <c r="A14" s="466" t="s">
        <v>5</v>
      </c>
      <c r="B14" s="267">
        <f>2+2+2</f>
        <v>6</v>
      </c>
      <c r="C14" s="267">
        <f>9+1+1+1+1+1+1+1+11+9+6</f>
        <v>42</v>
      </c>
      <c r="D14" s="267">
        <f>32+1+2+2+2+3+2+1+30+32+15</f>
        <v>122</v>
      </c>
      <c r="E14" s="267">
        <f>6+1+5+6+2</f>
        <v>20</v>
      </c>
      <c r="F14" s="267">
        <f>5+1+1+1+1+1+1+8+5+4</f>
        <v>28</v>
      </c>
      <c r="G14" s="268">
        <f>(10285.69+0.02)+(20742.84-0.03+0.05+857.13)+(17142.87-0.02)+(18171.41-0.01+0.02)</f>
        <v>67199.97</v>
      </c>
      <c r="H14" s="268">
        <f>(47142.87-0.02+0.01)+(48114.26-0.03+0.06+857.13)+(38457.13-0.02+0.04)+(43657.13-0.04+0.02)</f>
        <v>178228.53999999998</v>
      </c>
      <c r="I14" s="268">
        <f>5714.29+(2857.15+1428.57+1428.57)+15000</f>
        <v>26428.58</v>
      </c>
      <c r="J14" s="268">
        <f>571.43+571.43+(400+400+400)+1142.86+571.43+(200+200+200+200)+1200+1200+(285.72+285.72+285.72-0.02+285.72)+142.86+(571.43+571.43)</f>
        <v>9685.7300000000014</v>
      </c>
      <c r="K14" s="467">
        <v>0</v>
      </c>
      <c r="L14" s="467">
        <v>0</v>
      </c>
      <c r="M14" s="268">
        <f>(857.15+857.15-0.01)+(571.43+571.43)+(1028.57+2400)+(1142.86-0.01+1142.86)</f>
        <v>8571.43</v>
      </c>
      <c r="N14" s="268">
        <f>11*1142.86</f>
        <v>12571.46</v>
      </c>
      <c r="O14" s="468">
        <f>9816.2</f>
        <v>9816.2000000000007</v>
      </c>
      <c r="P14" s="469">
        <f t="shared" si="0"/>
        <v>312501.90999999997</v>
      </c>
      <c r="Q14" s="470">
        <f>P14+'2. COMPR DEV 30%'!C12+'2. COMPR DEV 30%'!E12+'3. COMP VR'!C12+'3. COMP VR'!E12+'4. COMP VP'!D15+'4. COMP VP'!F15</f>
        <v>561020.40999999992</v>
      </c>
      <c r="R14" s="489">
        <f>Q13-572511.93</f>
        <v>0</v>
      </c>
      <c r="S14" s="471"/>
      <c r="T14" s="472"/>
      <c r="U14" s="473"/>
      <c r="V14" s="474"/>
    </row>
    <row r="15" spans="1:22" s="487" customFormat="1" ht="23.1" customHeight="1" x14ac:dyDescent="0.2">
      <c r="A15" s="476" t="s">
        <v>6</v>
      </c>
      <c r="B15" s="477">
        <f>2+2+3+8</f>
        <v>15</v>
      </c>
      <c r="C15" s="477">
        <f>11+9+10+7</f>
        <v>37</v>
      </c>
      <c r="D15" s="477">
        <f>30+22+32+32</f>
        <v>116</v>
      </c>
      <c r="E15" s="477">
        <f>6+2+8+4</f>
        <v>20</v>
      </c>
      <c r="F15" s="477">
        <f>7+9+5+11</f>
        <v>32</v>
      </c>
      <c r="G15" s="478">
        <f>(21942.86+342.85)+(18857.13)+(21942.84+1371.44)+(10285.72)</f>
        <v>74742.84</v>
      </c>
      <c r="H15" s="478">
        <f>(51428.6-0.05+0.03+2095.25)+(28571.57-0.04+1142.74)+(56571.47-0.08+0.01+7142.88)+(65485.69-0.01+0.03)</f>
        <v>212438.09</v>
      </c>
      <c r="I15" s="478">
        <v>0</v>
      </c>
      <c r="J15" s="478">
        <f>6971.45</f>
        <v>6971.45</v>
      </c>
      <c r="K15" s="479">
        <v>0</v>
      </c>
      <c r="L15" s="479">
        <v>0</v>
      </c>
      <c r="M15" s="478">
        <f>1142.86</f>
        <v>1142.8599999999999</v>
      </c>
      <c r="N15" s="478">
        <v>12571.46</v>
      </c>
      <c r="O15" s="480">
        <v>0</v>
      </c>
      <c r="P15" s="481">
        <f t="shared" si="0"/>
        <v>307866.7</v>
      </c>
      <c r="Q15" s="482">
        <f>P15+'2. COMPR DEV 30%'!C13+'2. COMPR DEV 30%'!E13+'3. COMP VR'!C13+'3. COMP VR'!E13+'4. COMP VP'!D16+'4. COMP VP'!F16</f>
        <v>591076.57000000007</v>
      </c>
      <c r="R15" s="488"/>
      <c r="S15" s="483"/>
      <c r="T15" s="484"/>
      <c r="U15" s="485"/>
      <c r="V15" s="486"/>
    </row>
    <row r="16" spans="1:22" s="475" customFormat="1" ht="23.1" customHeight="1" x14ac:dyDescent="0.2">
      <c r="A16" s="466" t="s">
        <v>8</v>
      </c>
      <c r="B16" s="267">
        <f>2+5+4+13+7</f>
        <v>31</v>
      </c>
      <c r="C16" s="267">
        <f>7+4+1+6</f>
        <v>18</v>
      </c>
      <c r="D16" s="267">
        <f>11+26+1+28+49</f>
        <v>115</v>
      </c>
      <c r="E16" s="267">
        <f>5+5+8+9</f>
        <v>27</v>
      </c>
      <c r="F16" s="267">
        <f>4+4+1+2+11</f>
        <v>22</v>
      </c>
      <c r="G16" s="268">
        <v>63257.11</v>
      </c>
      <c r="H16" s="268">
        <v>230957.3</v>
      </c>
      <c r="I16" s="268">
        <v>2285.71</v>
      </c>
      <c r="J16" s="268">
        <v>9674.31</v>
      </c>
      <c r="K16" s="467">
        <v>0</v>
      </c>
      <c r="L16" s="467">
        <v>0</v>
      </c>
      <c r="M16" s="268"/>
      <c r="N16" s="268">
        <f>12*1142.86</f>
        <v>13714.32</v>
      </c>
      <c r="O16" s="468">
        <v>0</v>
      </c>
      <c r="P16" s="469">
        <f t="shared" si="0"/>
        <v>319888.75</v>
      </c>
      <c r="Q16" s="470">
        <f>P16+'2. COMPR DEV 30%'!C14+'2. COMPR DEV 30%'!E14+'3. COMP VR'!C14+'3. COMP VR'!E14+'4. COMP VP'!D17+'4. COMP VP'!F17</f>
        <v>496018.19</v>
      </c>
      <c r="R16" s="471"/>
      <c r="S16" s="471"/>
      <c r="T16" s="472"/>
      <c r="U16" s="473"/>
      <c r="V16" s="474"/>
    </row>
    <row r="17" spans="1:24" ht="23.1" customHeight="1" x14ac:dyDescent="0.2">
      <c r="A17" s="159" t="s">
        <v>9</v>
      </c>
      <c r="B17" s="175">
        <v>0</v>
      </c>
      <c r="C17" s="267">
        <v>0</v>
      </c>
      <c r="D17" s="267">
        <v>0</v>
      </c>
      <c r="E17" s="175">
        <v>0</v>
      </c>
      <c r="F17" s="175">
        <v>0</v>
      </c>
      <c r="G17" s="173">
        <v>0</v>
      </c>
      <c r="H17" s="268">
        <v>0</v>
      </c>
      <c r="I17" s="268">
        <v>0</v>
      </c>
      <c r="J17" s="173">
        <v>0</v>
      </c>
      <c r="K17" s="158">
        <v>0</v>
      </c>
      <c r="L17" s="158">
        <v>0</v>
      </c>
      <c r="M17" s="173">
        <v>0</v>
      </c>
      <c r="N17" s="268">
        <v>0</v>
      </c>
      <c r="O17" s="179">
        <v>0</v>
      </c>
      <c r="P17" s="314">
        <f t="shared" si="0"/>
        <v>0</v>
      </c>
      <c r="Q17" s="316">
        <f>P17+'2. COMPR DEV 30%'!C15+'2. COMPR DEV 30%'!E15+'3. COMP VR'!C15+'3. COMP VR'!E15+'4. COMP VP'!D18+'4. COMP VP'!F18</f>
        <v>225002.96999999997</v>
      </c>
      <c r="R17" s="316"/>
      <c r="T17" s="296"/>
      <c r="U17" s="360"/>
      <c r="V17" s="325"/>
    </row>
    <row r="18" spans="1:24" ht="23.1" customHeight="1" x14ac:dyDescent="0.2">
      <c r="A18" s="159" t="s">
        <v>10</v>
      </c>
      <c r="B18" s="175">
        <v>0</v>
      </c>
      <c r="C18" s="267">
        <v>0</v>
      </c>
      <c r="D18" s="267">
        <v>0</v>
      </c>
      <c r="E18" s="175">
        <v>0</v>
      </c>
      <c r="F18" s="175">
        <v>0</v>
      </c>
      <c r="G18" s="173">
        <v>0</v>
      </c>
      <c r="H18" s="268">
        <v>0</v>
      </c>
      <c r="I18" s="268">
        <v>0</v>
      </c>
      <c r="J18" s="173">
        <v>0</v>
      </c>
      <c r="K18" s="158">
        <v>0</v>
      </c>
      <c r="L18" s="158">
        <v>0</v>
      </c>
      <c r="M18" s="173">
        <v>0</v>
      </c>
      <c r="N18" s="268">
        <v>0</v>
      </c>
      <c r="O18" s="179">
        <v>0</v>
      </c>
      <c r="P18" s="314">
        <f t="shared" si="0"/>
        <v>0</v>
      </c>
      <c r="Q18" s="316">
        <f>P18+'2. COMPR DEV 30%'!C16+'2. COMPR DEV 30%'!E16+'3. COMP VR'!C16+'3. COMP VR'!E16+'4. COMP VP'!D19+'4. COMP VP'!F19</f>
        <v>0</v>
      </c>
      <c r="T18" s="296"/>
      <c r="U18" s="360"/>
      <c r="V18" s="325"/>
    </row>
    <row r="19" spans="1:24" ht="23.1" customHeight="1" x14ac:dyDescent="0.2">
      <c r="A19" s="160" t="s">
        <v>12</v>
      </c>
      <c r="B19" s="175">
        <v>0</v>
      </c>
      <c r="C19" s="267">
        <v>0</v>
      </c>
      <c r="D19" s="267">
        <v>0</v>
      </c>
      <c r="E19" s="175">
        <v>0</v>
      </c>
      <c r="F19" s="175">
        <v>0</v>
      </c>
      <c r="G19" s="173">
        <v>0</v>
      </c>
      <c r="H19" s="268">
        <v>0</v>
      </c>
      <c r="I19" s="268">
        <v>0</v>
      </c>
      <c r="J19" s="173">
        <v>0</v>
      </c>
      <c r="K19" s="158">
        <v>0</v>
      </c>
      <c r="L19" s="158">
        <v>0</v>
      </c>
      <c r="M19" s="173">
        <v>0</v>
      </c>
      <c r="N19" s="268">
        <v>0</v>
      </c>
      <c r="O19" s="179">
        <v>0</v>
      </c>
      <c r="P19" s="314">
        <f t="shared" si="0"/>
        <v>0</v>
      </c>
      <c r="Q19" s="316">
        <f>P19+'2. COMPR DEV 30%'!C17+'2. COMPR DEV 30%'!E17+'3. COMP VR'!C17+'3. COMP VR'!E17+'4. COMP VP'!D20+'4. COMP VP'!F20</f>
        <v>0</v>
      </c>
      <c r="R19" s="317"/>
      <c r="T19" s="296"/>
      <c r="U19" s="360"/>
      <c r="V19" s="325"/>
      <c r="X19" s="325"/>
    </row>
    <row r="20" spans="1:24" ht="23.1" customHeight="1" x14ac:dyDescent="0.2">
      <c r="A20" s="161" t="s">
        <v>13</v>
      </c>
      <c r="B20" s="175">
        <v>0</v>
      </c>
      <c r="C20" s="267">
        <v>0</v>
      </c>
      <c r="D20" s="267">
        <v>0</v>
      </c>
      <c r="E20" s="175">
        <v>0</v>
      </c>
      <c r="F20" s="175">
        <v>0</v>
      </c>
      <c r="G20" s="173">
        <v>0</v>
      </c>
      <c r="H20" s="268">
        <v>0</v>
      </c>
      <c r="I20" s="268">
        <v>0</v>
      </c>
      <c r="J20" s="173">
        <v>0</v>
      </c>
      <c r="K20" s="158">
        <v>0</v>
      </c>
      <c r="L20" s="158">
        <v>0</v>
      </c>
      <c r="M20" s="173">
        <v>0</v>
      </c>
      <c r="N20" s="268">
        <v>0</v>
      </c>
      <c r="O20" s="179">
        <v>0</v>
      </c>
      <c r="P20" s="314">
        <f t="shared" si="0"/>
        <v>0</v>
      </c>
      <c r="Q20" s="316">
        <f>P20+'2. COMPR DEV 30%'!C18+'2. COMPR DEV 30%'!E18+'3. COMP VR'!C18+'3. COMP VR'!E18+'4. COMP VP'!D21+'4. COMP VP'!F21</f>
        <v>0</v>
      </c>
      <c r="R20" s="318"/>
      <c r="T20" s="312"/>
      <c r="U20" s="360"/>
      <c r="V20" s="325"/>
    </row>
    <row r="21" spans="1:24" ht="23.1" customHeight="1" x14ac:dyDescent="0.2">
      <c r="A21" s="162" t="s">
        <v>14</v>
      </c>
      <c r="B21" s="175">
        <v>0</v>
      </c>
      <c r="C21" s="267">
        <v>0</v>
      </c>
      <c r="D21" s="267">
        <v>0</v>
      </c>
      <c r="E21" s="175">
        <v>0</v>
      </c>
      <c r="F21" s="175">
        <v>0</v>
      </c>
      <c r="G21" s="173">
        <v>0</v>
      </c>
      <c r="H21" s="268">
        <v>0</v>
      </c>
      <c r="I21" s="268">
        <v>0</v>
      </c>
      <c r="J21" s="173">
        <v>0</v>
      </c>
      <c r="K21" s="158">
        <v>0</v>
      </c>
      <c r="L21" s="158">
        <v>0</v>
      </c>
      <c r="M21" s="173">
        <v>0</v>
      </c>
      <c r="N21" s="268">
        <v>0</v>
      </c>
      <c r="O21" s="179">
        <v>0</v>
      </c>
      <c r="P21" s="314">
        <f t="shared" si="0"/>
        <v>0</v>
      </c>
      <c r="Q21" s="316">
        <f>P21+'2. COMPR DEV 30%'!C19+'2. COMPR DEV 30%'!E19+'3. COMP VR'!C19+'3. COMP VR'!E19+'4. COMP VP'!D22+'4. COMP VP'!F22</f>
        <v>0</v>
      </c>
      <c r="R21" s="317"/>
      <c r="T21" s="312"/>
      <c r="U21" s="360"/>
      <c r="V21" s="325"/>
    </row>
    <row r="22" spans="1:24" ht="23.1" customHeight="1" thickBot="1" x14ac:dyDescent="0.25">
      <c r="A22" s="162" t="s">
        <v>15</v>
      </c>
      <c r="B22" s="175">
        <v>0</v>
      </c>
      <c r="C22" s="267">
        <v>0</v>
      </c>
      <c r="D22" s="267">
        <v>0</v>
      </c>
      <c r="E22" s="175">
        <v>0</v>
      </c>
      <c r="F22" s="175">
        <v>0</v>
      </c>
      <c r="G22" s="173">
        <v>0</v>
      </c>
      <c r="H22" s="268">
        <v>0</v>
      </c>
      <c r="I22" s="268">
        <v>0</v>
      </c>
      <c r="J22" s="173">
        <v>0</v>
      </c>
      <c r="K22" s="158">
        <v>0</v>
      </c>
      <c r="L22" s="158">
        <v>0</v>
      </c>
      <c r="M22" s="173">
        <v>0</v>
      </c>
      <c r="N22" s="268">
        <v>0</v>
      </c>
      <c r="O22" s="179">
        <v>0</v>
      </c>
      <c r="P22" s="314">
        <f t="shared" si="0"/>
        <v>0</v>
      </c>
      <c r="Q22" s="316">
        <f>P22+'2. COMPR DEV 30%'!C20+'2. COMPR DEV 30%'!E20+'3. COMP VR'!C20+'3. COMP VR'!E20+'4. COMP VP'!D23+'4. COMP VP'!F23</f>
        <v>0</v>
      </c>
      <c r="R22" s="316"/>
      <c r="T22" s="312"/>
      <c r="U22" s="360"/>
      <c r="V22" s="325"/>
    </row>
    <row r="23" spans="1:24" ht="27.75" customHeight="1" thickBot="1" x14ac:dyDescent="0.25">
      <c r="A23" s="180" t="s">
        <v>0</v>
      </c>
      <c r="B23" s="181">
        <f t="shared" ref="B23:I23" si="1">SUM(B11:B22)</f>
        <v>52</v>
      </c>
      <c r="C23" s="181">
        <f t="shared" si="1"/>
        <v>246</v>
      </c>
      <c r="D23" s="181">
        <f t="shared" si="1"/>
        <v>699</v>
      </c>
      <c r="E23" s="181">
        <f t="shared" si="1"/>
        <v>145</v>
      </c>
      <c r="F23" s="181">
        <f t="shared" si="1"/>
        <v>160</v>
      </c>
      <c r="G23" s="182">
        <f t="shared" si="1"/>
        <v>437622.80999999994</v>
      </c>
      <c r="H23" s="182">
        <f t="shared" si="1"/>
        <v>1173143.8499999999</v>
      </c>
      <c r="I23" s="182">
        <f t="shared" si="1"/>
        <v>102857.14000000001</v>
      </c>
      <c r="J23" s="182">
        <f t="shared" ref="J23:O23" si="2">SUM(J11:J22)</f>
        <v>76807.740000000005</v>
      </c>
      <c r="K23" s="182">
        <f t="shared" si="2"/>
        <v>1142.8499999999999</v>
      </c>
      <c r="L23" s="182">
        <f t="shared" si="2"/>
        <v>0</v>
      </c>
      <c r="M23" s="182">
        <f t="shared" si="2"/>
        <v>19428.59</v>
      </c>
      <c r="N23" s="182">
        <f t="shared" si="2"/>
        <v>99428.82</v>
      </c>
      <c r="O23" s="183">
        <f t="shared" si="2"/>
        <v>32092.06</v>
      </c>
      <c r="P23" s="319">
        <f>G23+H23+I23+J23+K23+L23+M23+N23+O23</f>
        <v>1942523.86</v>
      </c>
      <c r="Q23" s="320">
        <f>SUM(Q11:Q22)</f>
        <v>3450281.21</v>
      </c>
      <c r="T23" s="296"/>
      <c r="U23" s="360"/>
      <c r="V23" s="325"/>
    </row>
    <row r="24" spans="1:24" s="312" customFormat="1" x14ac:dyDescent="0.2">
      <c r="A24" s="361" t="s">
        <v>156</v>
      </c>
      <c r="B24" s="362"/>
      <c r="C24" s="362"/>
      <c r="D24" s="362"/>
      <c r="E24" s="362"/>
      <c r="F24" s="362"/>
      <c r="G24" s="324"/>
      <c r="H24" s="362"/>
      <c r="I24" s="362"/>
      <c r="J24" s="362"/>
      <c r="K24" s="362"/>
      <c r="L24" s="362"/>
      <c r="M24" s="324"/>
      <c r="N24" s="312" t="s">
        <v>557</v>
      </c>
      <c r="O24" s="324"/>
      <c r="Q24" s="315">
        <f>SUM(Q11:Q23)-Q23</f>
        <v>3450281.21</v>
      </c>
      <c r="R24" s="317"/>
    </row>
    <row r="25" spans="1:24" s="312" customFormat="1" x14ac:dyDescent="0.2">
      <c r="A25" s="363" t="s">
        <v>163</v>
      </c>
      <c r="B25" s="131"/>
      <c r="C25" s="362"/>
      <c r="D25" s="362"/>
      <c r="E25" s="362"/>
      <c r="F25" s="362"/>
      <c r="G25" s="324"/>
      <c r="H25" s="362"/>
      <c r="I25" s="362"/>
      <c r="J25" s="362"/>
      <c r="K25" s="362"/>
      <c r="L25" s="362"/>
      <c r="M25" s="324"/>
      <c r="N25" s="324"/>
      <c r="O25" s="324"/>
      <c r="P25" s="321"/>
      <c r="Q25" s="317"/>
      <c r="V25" s="317"/>
    </row>
    <row r="26" spans="1:24" s="312" customFormat="1" x14ac:dyDescent="0.2">
      <c r="B26" s="364"/>
      <c r="C26" s="362"/>
      <c r="D26" s="362"/>
      <c r="E26" s="362"/>
      <c r="F26" s="362"/>
      <c r="G26" s="324"/>
      <c r="H26" s="362"/>
      <c r="I26" s="362"/>
      <c r="J26" s="362"/>
      <c r="K26" s="362"/>
      <c r="L26" s="362"/>
      <c r="M26" s="324"/>
      <c r="N26" s="324"/>
      <c r="O26" s="324"/>
      <c r="P26" s="317"/>
      <c r="Q26" s="356"/>
      <c r="V26" s="317"/>
    </row>
    <row r="27" spans="1:24" s="312" customFormat="1" x14ac:dyDescent="0.2">
      <c r="A27" s="362"/>
      <c r="B27" s="364"/>
      <c r="C27" s="362"/>
      <c r="D27" s="362"/>
      <c r="E27" s="362"/>
      <c r="F27" s="362"/>
      <c r="G27" s="324"/>
      <c r="H27" s="362"/>
      <c r="I27" s="362"/>
      <c r="J27" s="362"/>
      <c r="K27" s="362"/>
      <c r="L27" s="362"/>
      <c r="M27" s="324"/>
      <c r="N27" s="324"/>
      <c r="O27" s="324"/>
      <c r="P27" s="317"/>
      <c r="Q27" s="317"/>
    </row>
    <row r="28" spans="1:24" s="312" customFormat="1" x14ac:dyDescent="0.2">
      <c r="A28" s="131" t="s">
        <v>152</v>
      </c>
      <c r="B28" s="364"/>
      <c r="C28" s="363"/>
      <c r="D28" s="363"/>
      <c r="E28" s="363"/>
      <c r="F28" s="363"/>
      <c r="G28" s="131"/>
      <c r="H28" s="363"/>
      <c r="I28" s="363"/>
      <c r="J28" s="363"/>
      <c r="K28" s="363"/>
      <c r="L28" s="363"/>
      <c r="M28" s="131"/>
      <c r="N28" s="131"/>
      <c r="O28" s="131"/>
      <c r="P28" s="131"/>
      <c r="Q28" s="317"/>
    </row>
    <row r="29" spans="1:24" s="312" customFormat="1" x14ac:dyDescent="0.2">
      <c r="A29" s="363"/>
      <c r="B29" s="364"/>
      <c r="C29" s="362"/>
      <c r="D29" s="362"/>
      <c r="E29" s="362"/>
      <c r="F29" s="362"/>
      <c r="G29" s="324"/>
      <c r="H29" s="362"/>
      <c r="I29" s="362"/>
      <c r="J29" s="362"/>
      <c r="K29" s="362"/>
      <c r="L29" s="362"/>
      <c r="M29" s="324"/>
      <c r="N29" s="324"/>
      <c r="O29" s="324"/>
      <c r="Q29" s="356"/>
      <c r="U29" s="317"/>
    </row>
    <row r="30" spans="1:24" s="312" customFormat="1" x14ac:dyDescent="0.2">
      <c r="A30" s="363"/>
      <c r="B30" s="131"/>
      <c r="C30" s="363"/>
      <c r="D30" s="363"/>
      <c r="E30" s="363"/>
      <c r="F30" s="363"/>
      <c r="G30" s="131"/>
      <c r="H30" s="363"/>
      <c r="I30" s="363"/>
      <c r="J30" s="363"/>
      <c r="K30" s="363"/>
      <c r="L30" s="363"/>
      <c r="M30" s="131"/>
      <c r="N30" s="131"/>
      <c r="O30" s="131"/>
      <c r="P30" s="131"/>
      <c r="Q30" s="356"/>
    </row>
    <row r="31" spans="1:24" s="312" customFormat="1" x14ac:dyDescent="0.2">
      <c r="A31" s="363"/>
      <c r="B31" s="131"/>
      <c r="C31" s="363"/>
      <c r="D31" s="363"/>
      <c r="E31" s="363"/>
      <c r="F31" s="363"/>
      <c r="G31" s="131"/>
      <c r="H31" s="363"/>
      <c r="I31" s="363"/>
      <c r="J31" s="363"/>
      <c r="K31" s="363"/>
      <c r="L31" s="363"/>
      <c r="M31" s="131"/>
      <c r="N31" s="131"/>
      <c r="O31" s="131"/>
      <c r="P31" s="131"/>
    </row>
    <row r="32" spans="1:24" s="312" customFormat="1" x14ac:dyDescent="0.2">
      <c r="A32" s="363"/>
      <c r="B32" s="131"/>
      <c r="C32" s="363"/>
      <c r="D32" s="363"/>
      <c r="E32" s="363"/>
      <c r="F32" s="363"/>
      <c r="G32" s="365"/>
      <c r="H32" s="366"/>
      <c r="I32" s="366"/>
      <c r="J32" s="366"/>
      <c r="K32" s="366"/>
      <c r="L32" s="366"/>
      <c r="M32" s="131"/>
      <c r="N32" s="311" t="s">
        <v>137</v>
      </c>
      <c r="O32" s="367"/>
      <c r="P32" s="322"/>
    </row>
    <row r="33" spans="1:18" s="312" customFormat="1" x14ac:dyDescent="0.2">
      <c r="A33" s="363"/>
      <c r="B33" s="131"/>
      <c r="D33" s="363"/>
      <c r="E33" s="363"/>
      <c r="F33" s="363"/>
      <c r="G33" s="131"/>
      <c r="H33" s="363"/>
      <c r="I33" s="363"/>
      <c r="J33" s="363"/>
      <c r="K33" s="363"/>
      <c r="L33" s="363"/>
      <c r="M33" s="131"/>
      <c r="N33" s="316"/>
      <c r="O33" s="368" t="s">
        <v>384</v>
      </c>
    </row>
    <row r="34" spans="1:18" s="312" customFormat="1" x14ac:dyDescent="0.2">
      <c r="A34" s="363"/>
      <c r="B34" s="131"/>
      <c r="C34" s="363"/>
      <c r="D34" s="363"/>
      <c r="E34" s="363"/>
      <c r="F34" s="363"/>
      <c r="G34" s="131"/>
      <c r="H34" s="369"/>
      <c r="I34" s="369"/>
      <c r="J34" s="369"/>
      <c r="K34" s="369"/>
      <c r="L34" s="369"/>
      <c r="N34" s="324"/>
      <c r="O34" s="370" t="s">
        <v>382</v>
      </c>
      <c r="Q34" s="371"/>
    </row>
    <row r="35" spans="1:18" x14ac:dyDescent="0.2">
      <c r="A35" s="6"/>
      <c r="B35" s="357"/>
      <c r="C35" s="358"/>
      <c r="D35" s="358"/>
      <c r="E35" s="358"/>
      <c r="F35" s="358"/>
      <c r="G35" s="296"/>
      <c r="H35" s="358"/>
      <c r="I35" s="358"/>
      <c r="J35" s="3"/>
      <c r="K35" s="3"/>
      <c r="L35" s="3"/>
      <c r="Q35" s="371"/>
      <c r="R35" s="317"/>
    </row>
    <row r="36" spans="1:18" x14ac:dyDescent="0.2">
      <c r="A36" s="6"/>
      <c r="B36" s="5"/>
      <c r="C36" s="3"/>
      <c r="D36" s="3"/>
      <c r="E36" s="3"/>
      <c r="F36" s="3"/>
      <c r="H36" s="3"/>
      <c r="I36" s="3"/>
      <c r="J36" s="3"/>
      <c r="K36" s="3"/>
      <c r="L36" s="3"/>
      <c r="P36" s="323"/>
      <c r="Q36" s="371"/>
    </row>
    <row r="37" spans="1:18" x14ac:dyDescent="0.2">
      <c r="A37" s="6"/>
      <c r="B37" s="4"/>
      <c r="C37" s="13"/>
      <c r="D37" s="13"/>
      <c r="E37" s="13"/>
      <c r="F37" s="13"/>
      <c r="G37" s="163"/>
      <c r="H37" s="13"/>
      <c r="I37" s="13"/>
      <c r="J37" s="13"/>
      <c r="K37" s="13"/>
      <c r="L37" s="13"/>
      <c r="M37" s="4"/>
      <c r="N37" s="4"/>
      <c r="O37" s="4"/>
      <c r="P37" s="323"/>
    </row>
    <row r="38" spans="1:18" ht="10.5" customHeight="1" x14ac:dyDescent="0.2">
      <c r="A38" s="6"/>
      <c r="B38" s="4"/>
      <c r="C38" s="3"/>
      <c r="D38" s="3"/>
      <c r="E38" s="3"/>
      <c r="F38" s="3"/>
      <c r="H38" s="3"/>
      <c r="I38" s="3"/>
      <c r="J38" s="3"/>
      <c r="K38" s="3"/>
      <c r="L38" s="3"/>
    </row>
    <row r="39" spans="1:18" x14ac:dyDescent="0.2">
      <c r="A39" s="6"/>
      <c r="B39" s="4"/>
      <c r="C39" s="3"/>
      <c r="D39" s="3"/>
      <c r="E39" s="3"/>
      <c r="F39" s="3"/>
      <c r="G39" s="163"/>
      <c r="H39" s="3"/>
      <c r="I39" s="3"/>
      <c r="J39" s="3"/>
      <c r="K39" s="3"/>
      <c r="L39" s="3"/>
    </row>
    <row r="40" spans="1:18" x14ac:dyDescent="0.2">
      <c r="A40" s="14"/>
      <c r="B40" s="14"/>
      <c r="C40" s="14"/>
      <c r="D40" s="14"/>
      <c r="E40" s="19"/>
      <c r="H40" s="325"/>
    </row>
    <row r="41" spans="1:18" x14ac:dyDescent="0.2">
      <c r="A41" s="14"/>
      <c r="B41" s="14"/>
      <c r="C41" s="14"/>
      <c r="D41" s="14"/>
      <c r="E41" s="19"/>
    </row>
    <row r="42" spans="1:18" x14ac:dyDescent="0.2">
      <c r="A42" s="14"/>
      <c r="B42" s="14"/>
      <c r="C42" s="14"/>
      <c r="D42" s="14"/>
      <c r="E42" s="17"/>
      <c r="F42" s="4"/>
      <c r="N42" s="4"/>
      <c r="O42" s="4"/>
      <c r="P42" s="324"/>
    </row>
    <row r="43" spans="1:18" x14ac:dyDescent="0.2">
      <c r="A43" s="14"/>
      <c r="B43" s="14"/>
      <c r="C43" s="14"/>
      <c r="D43" s="14"/>
      <c r="E43" s="19"/>
    </row>
    <row r="44" spans="1:18" x14ac:dyDescent="0.2">
      <c r="A44" s="14"/>
      <c r="B44" s="14"/>
      <c r="C44" s="14"/>
      <c r="D44" s="14"/>
      <c r="E44" s="19"/>
    </row>
  </sheetData>
  <mergeCells count="13">
    <mergeCell ref="A6:P6"/>
    <mergeCell ref="A7:P7"/>
    <mergeCell ref="B9:B10"/>
    <mergeCell ref="C9:C10"/>
    <mergeCell ref="A9:A10"/>
    <mergeCell ref="D9:D10"/>
    <mergeCell ref="M9:M10"/>
    <mergeCell ref="N9:N10"/>
    <mergeCell ref="O9:O10"/>
    <mergeCell ref="P9:P10"/>
    <mergeCell ref="E9:F9"/>
    <mergeCell ref="H9:L9"/>
    <mergeCell ref="G9:G10"/>
  </mergeCells>
  <phoneticPr fontId="0" type="noConversion"/>
  <printOptions horizontalCentered="1"/>
  <pageMargins left="0.47244094488188981" right="0.19685039370078741" top="0.39370078740157483" bottom="0.39370078740157483" header="0.31496062992125984" footer="0.31496062992125984"/>
  <pageSetup paperSize="41" scale="8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9" zoomScale="110" zoomScaleNormal="110" workbookViewId="0">
      <selection activeCell="D16" sqref="D16"/>
    </sheetView>
  </sheetViews>
  <sheetFormatPr baseColWidth="10" defaultRowHeight="12.75" x14ac:dyDescent="0.2"/>
  <cols>
    <col min="2" max="2" width="13" customWidth="1"/>
    <col min="4" max="4" width="12.5703125" customWidth="1"/>
    <col min="5" max="5" width="11.85546875" customWidth="1"/>
    <col min="6" max="6" width="4.42578125" customWidth="1"/>
    <col min="8" max="8" width="11.5703125" customWidth="1"/>
    <col min="9" max="9" width="11.5703125" bestFit="1" customWidth="1"/>
    <col min="10" max="11" width="12" bestFit="1" customWidth="1"/>
  </cols>
  <sheetData>
    <row r="1" spans="1:11" x14ac:dyDescent="0.2">
      <c r="K1" s="18" t="s">
        <v>208</v>
      </c>
    </row>
    <row r="3" spans="1:11" ht="15" x14ac:dyDescent="0.25">
      <c r="A3" s="78"/>
      <c r="B3" s="78"/>
      <c r="C3" s="78"/>
      <c r="H3" s="78"/>
      <c r="I3" s="78"/>
      <c r="J3" s="78"/>
      <c r="K3" s="77"/>
    </row>
    <row r="4" spans="1:11" s="10" customFormat="1" ht="9" x14ac:dyDescent="0.15">
      <c r="A4" s="507" t="s">
        <v>68</v>
      </c>
      <c r="B4" s="507"/>
      <c r="C4" s="507"/>
      <c r="D4" s="507"/>
      <c r="E4" s="507"/>
      <c r="F4" s="124"/>
      <c r="G4" s="507" t="s">
        <v>68</v>
      </c>
      <c r="H4" s="507"/>
      <c r="I4" s="507"/>
      <c r="J4" s="507"/>
      <c r="K4" s="507"/>
    </row>
    <row r="5" spans="1:11" s="10" customFormat="1" ht="9" x14ac:dyDescent="0.15">
      <c r="A5" s="507" t="s">
        <v>69</v>
      </c>
      <c r="B5" s="507"/>
      <c r="C5" s="507"/>
      <c r="D5" s="507"/>
      <c r="E5" s="507"/>
      <c r="F5" s="124"/>
      <c r="G5" s="507" t="s">
        <v>69</v>
      </c>
      <c r="H5" s="507"/>
      <c r="I5" s="507"/>
      <c r="J5" s="507"/>
      <c r="K5" s="507"/>
    </row>
    <row r="6" spans="1:11" s="10" customFormat="1" ht="9" x14ac:dyDescent="0.15">
      <c r="A6" s="511" t="s">
        <v>210</v>
      </c>
      <c r="B6" s="511"/>
      <c r="C6" s="511"/>
      <c r="D6" s="511"/>
      <c r="E6" s="511"/>
      <c r="F6" s="124"/>
      <c r="G6" s="511" t="s">
        <v>70</v>
      </c>
      <c r="H6" s="511"/>
      <c r="I6" s="511"/>
      <c r="J6" s="511"/>
      <c r="K6" s="511"/>
    </row>
    <row r="7" spans="1:11" ht="15" customHeight="1" x14ac:dyDescent="0.25">
      <c r="A7" s="139"/>
      <c r="B7" s="508" t="s">
        <v>224</v>
      </c>
      <c r="C7" s="509"/>
      <c r="D7" s="509"/>
      <c r="E7" s="510"/>
      <c r="F7" s="77"/>
      <c r="G7" s="80"/>
      <c r="H7" s="512" t="s">
        <v>209</v>
      </c>
      <c r="I7" s="513"/>
      <c r="J7" s="513"/>
      <c r="K7" s="514"/>
    </row>
    <row r="8" spans="1:11" ht="77.25" customHeight="1" x14ac:dyDescent="0.25">
      <c r="A8" s="140" t="s">
        <v>71</v>
      </c>
      <c r="B8" s="141" t="s">
        <v>126</v>
      </c>
      <c r="C8" s="142" t="s">
        <v>73</v>
      </c>
      <c r="D8" s="143" t="s">
        <v>74</v>
      </c>
      <c r="E8" s="144" t="s">
        <v>75</v>
      </c>
      <c r="F8" s="77"/>
      <c r="G8" s="81" t="s">
        <v>71</v>
      </c>
      <c r="H8" s="23" t="s">
        <v>126</v>
      </c>
      <c r="I8" s="82" t="s">
        <v>73</v>
      </c>
      <c r="J8" s="83" t="s">
        <v>74</v>
      </c>
      <c r="K8" s="84" t="s">
        <v>75</v>
      </c>
    </row>
    <row r="9" spans="1:11" ht="15" x14ac:dyDescent="0.25">
      <c r="A9" s="271" t="s">
        <v>56</v>
      </c>
      <c r="B9" s="272">
        <f>3+11+5+6</f>
        <v>25</v>
      </c>
      <c r="C9" s="273">
        <f>127.32+368.45+183.09+178.16</f>
        <v>857.02</v>
      </c>
      <c r="D9" s="273">
        <f>4243.86+12280.84+6102.89+5938.98</f>
        <v>28566.57</v>
      </c>
      <c r="E9" s="274">
        <f>1145.83+3315.8+1647.78+1603.55</f>
        <v>7712.96</v>
      </c>
      <c r="F9" s="77"/>
      <c r="G9" s="85" t="s">
        <v>56</v>
      </c>
      <c r="H9" s="272">
        <f>1+5+7+7</f>
        <v>20</v>
      </c>
      <c r="I9" s="273">
        <f>58.27+211.98+155.37+265.32</f>
        <v>690.94</v>
      </c>
      <c r="J9" s="273">
        <f>1942.46+7066.02+5179.08+8844.03</f>
        <v>23031.59</v>
      </c>
      <c r="K9" s="274">
        <f>524.47+1907.81+1398.35+2387.89</f>
        <v>6218.5199999999995</v>
      </c>
    </row>
    <row r="10" spans="1:11" ht="15" x14ac:dyDescent="0.25">
      <c r="A10" s="271" t="s">
        <v>57</v>
      </c>
      <c r="B10" s="272">
        <f>9+4+7+5</f>
        <v>25</v>
      </c>
      <c r="C10" s="273">
        <f>373.05+180.02+232.46+125.91</f>
        <v>911.44</v>
      </c>
      <c r="D10" s="273">
        <f>12434.68</f>
        <v>12434.68</v>
      </c>
      <c r="E10" s="274">
        <f>3357.35+1620.17+2092.03+1133.2</f>
        <v>8202.7500000000018</v>
      </c>
      <c r="F10" s="77"/>
      <c r="G10" s="85" t="s">
        <v>57</v>
      </c>
      <c r="H10" s="272">
        <f>2+7+5+10</f>
        <v>24</v>
      </c>
      <c r="I10" s="275">
        <f>21.76+227.96+157.65+359.94</f>
        <v>767.31</v>
      </c>
      <c r="J10" s="275">
        <f>725.24+7598.53+5254.79+11998.24</f>
        <v>25576.800000000003</v>
      </c>
      <c r="K10" s="274">
        <f>195.81+2051.6+1418.79+3239.52</f>
        <v>6905.7199999999993</v>
      </c>
    </row>
    <row r="11" spans="1:11" ht="15" x14ac:dyDescent="0.25">
      <c r="A11" s="271" t="s">
        <v>58</v>
      </c>
      <c r="B11" s="272">
        <v>23</v>
      </c>
      <c r="C11" s="273">
        <f>181.29+279.68+246.45+188</f>
        <v>895.42000000000007</v>
      </c>
      <c r="D11" s="374">
        <f>6042.66+9322.3+8214.89+6266.74</f>
        <v>29846.589999999997</v>
      </c>
      <c r="E11" s="273">
        <f>1631.51+2517+2218.02+1692.02</f>
        <v>8058.5500000000011</v>
      </c>
      <c r="F11" s="77"/>
      <c r="G11" s="85" t="s">
        <v>58</v>
      </c>
      <c r="H11" s="272">
        <f>5+4+3</f>
        <v>12</v>
      </c>
      <c r="I11" s="275">
        <f>198.85+150.68+122.93</f>
        <v>472.46</v>
      </c>
      <c r="J11" s="275">
        <f>6628.41+5022.63+4097.39</f>
        <v>15748.43</v>
      </c>
      <c r="K11" s="274">
        <f>1789.68+1356.1+1106.29</f>
        <v>4252.07</v>
      </c>
    </row>
    <row r="12" spans="1:11" ht="15" x14ac:dyDescent="0.25">
      <c r="A12" s="271" t="s">
        <v>59</v>
      </c>
      <c r="B12" s="272">
        <v>10</v>
      </c>
      <c r="C12" s="275">
        <f>94.52+52.23+18.14+104.34</f>
        <v>269.23</v>
      </c>
      <c r="D12" s="275">
        <f>3150.3+1740.96+604.5+3477.89</f>
        <v>8973.65</v>
      </c>
      <c r="E12" s="274">
        <f>850.57+470.06+163.21+939.02</f>
        <v>2422.86</v>
      </c>
      <c r="F12" s="77"/>
      <c r="G12" s="85" t="s">
        <v>59</v>
      </c>
      <c r="H12" s="272">
        <v>0</v>
      </c>
      <c r="I12" s="275">
        <v>0</v>
      </c>
      <c r="J12" s="275">
        <v>0</v>
      </c>
      <c r="K12" s="274">
        <v>0</v>
      </c>
    </row>
    <row r="13" spans="1:11" ht="15" x14ac:dyDescent="0.25">
      <c r="A13" s="271" t="s">
        <v>60</v>
      </c>
      <c r="B13" s="272">
        <v>14</v>
      </c>
      <c r="C13" s="273">
        <f>127.04+246.88+26.06+59.73+88.42</f>
        <v>548.13</v>
      </c>
      <c r="D13" s="273">
        <f>2947.05+1990.82+868.68+8229.58+4234.45</f>
        <v>18270.580000000002</v>
      </c>
      <c r="E13" s="465">
        <f>884.12+597.25+260.6+2468.88+1270.33</f>
        <v>5481.18</v>
      </c>
      <c r="F13" s="77"/>
      <c r="G13" s="85" t="s">
        <v>60</v>
      </c>
      <c r="H13" s="272">
        <f>6</f>
        <v>6</v>
      </c>
      <c r="I13" s="275">
        <f>166.02</f>
        <v>166.02</v>
      </c>
      <c r="J13" s="275">
        <f>5534.14</f>
        <v>5534.14</v>
      </c>
      <c r="K13" s="274">
        <f>1494.23</f>
        <v>1494.23</v>
      </c>
    </row>
    <row r="14" spans="1:11" ht="15" x14ac:dyDescent="0.25">
      <c r="A14" s="271" t="s">
        <v>61</v>
      </c>
      <c r="B14" s="272">
        <v>16</v>
      </c>
      <c r="C14" s="273">
        <v>743.39</v>
      </c>
      <c r="D14" s="273">
        <v>24779.439999999999</v>
      </c>
      <c r="E14" s="274">
        <v>6690.45</v>
      </c>
      <c r="F14" s="77"/>
      <c r="G14" s="85" t="s">
        <v>61</v>
      </c>
      <c r="H14" s="272">
        <f>2</f>
        <v>2</v>
      </c>
      <c r="I14" s="275">
        <f>80.24</f>
        <v>80.239999999999995</v>
      </c>
      <c r="J14" s="275">
        <f>2674.46</f>
        <v>2674.46</v>
      </c>
      <c r="K14" s="274">
        <f>722.09</f>
        <v>722.09</v>
      </c>
    </row>
    <row r="15" spans="1:11" ht="15" x14ac:dyDescent="0.25">
      <c r="A15" s="276" t="s">
        <v>62</v>
      </c>
      <c r="B15" s="272">
        <f>2+6+6+3</f>
        <v>17</v>
      </c>
      <c r="C15" s="275">
        <f>32.63+161.32+180.68+114.47</f>
        <v>489.1</v>
      </c>
      <c r="D15" s="275">
        <f>1087.61+5377.23+6022.51+3815.5</f>
        <v>16302.849999999999</v>
      </c>
      <c r="E15" s="274">
        <f>293.66+1451.86+1626.07+1030.18</f>
        <v>4401.7700000000004</v>
      </c>
      <c r="F15" s="77"/>
      <c r="G15" s="85" t="s">
        <v>62</v>
      </c>
      <c r="H15" s="272">
        <v>0</v>
      </c>
      <c r="I15" s="275">
        <v>0</v>
      </c>
      <c r="J15" s="275">
        <v>0</v>
      </c>
      <c r="K15" s="274">
        <v>0</v>
      </c>
    </row>
    <row r="16" spans="1:11" ht="15" x14ac:dyDescent="0.25">
      <c r="A16" s="271" t="s">
        <v>63</v>
      </c>
      <c r="B16" s="272">
        <v>0</v>
      </c>
      <c r="C16" s="273">
        <v>0</v>
      </c>
      <c r="D16" s="273">
        <v>0</v>
      </c>
      <c r="E16" s="274">
        <v>0</v>
      </c>
      <c r="F16" s="77"/>
      <c r="G16" s="85" t="s">
        <v>63</v>
      </c>
      <c r="H16" s="272">
        <f>2+12</f>
        <v>14</v>
      </c>
      <c r="I16" s="275">
        <f>33.11+581.22</f>
        <v>614.33000000000004</v>
      </c>
      <c r="J16" s="275">
        <f>1103.52+19373.37</f>
        <v>20476.89</v>
      </c>
      <c r="K16" s="274">
        <f>297.95+5230.8</f>
        <v>5528.75</v>
      </c>
    </row>
    <row r="17" spans="1:13" ht="15" x14ac:dyDescent="0.25">
      <c r="A17" s="271" t="s">
        <v>76</v>
      </c>
      <c r="B17" s="272">
        <v>0</v>
      </c>
      <c r="C17" s="273">
        <v>0</v>
      </c>
      <c r="D17" s="273">
        <v>0</v>
      </c>
      <c r="E17" s="274">
        <v>0</v>
      </c>
      <c r="F17" s="77"/>
      <c r="G17" s="85" t="s">
        <v>76</v>
      </c>
      <c r="H17" s="272">
        <f>10+17+4+5</f>
        <v>36</v>
      </c>
      <c r="I17" s="275">
        <f>448.99+671.86+170.27+121.16</f>
        <v>1412.28</v>
      </c>
      <c r="J17" s="275">
        <f>14966.51+22395.41+5675.65+4038.48</f>
        <v>47076.05</v>
      </c>
      <c r="K17" s="274">
        <f>4040.97+6046.76+1532.43+1090.39</f>
        <v>12710.55</v>
      </c>
    </row>
    <row r="18" spans="1:13" ht="15" x14ac:dyDescent="0.25">
      <c r="A18" s="271" t="s">
        <v>64</v>
      </c>
      <c r="B18" s="272">
        <v>0</v>
      </c>
      <c r="C18" s="273">
        <v>0</v>
      </c>
      <c r="D18" s="273">
        <v>0</v>
      </c>
      <c r="E18" s="274">
        <v>0</v>
      </c>
      <c r="F18" s="77"/>
      <c r="G18" s="85" t="s">
        <v>64</v>
      </c>
      <c r="H18" s="272">
        <f>6+8+5+4</f>
        <v>23</v>
      </c>
      <c r="I18" s="275">
        <f>267.82+363.57+152.59+73.02</f>
        <v>857</v>
      </c>
      <c r="J18" s="275">
        <f>8927.07+12118.87+5085.98+2433.63</f>
        <v>28565.550000000003</v>
      </c>
      <c r="K18" s="274">
        <f>2410.3+3272.09+1373.21+657.07</f>
        <v>7712.67</v>
      </c>
    </row>
    <row r="19" spans="1:13" ht="15" x14ac:dyDescent="0.25">
      <c r="A19" s="271" t="s">
        <v>66</v>
      </c>
      <c r="B19" s="272">
        <v>0</v>
      </c>
      <c r="C19" s="273">
        <v>0</v>
      </c>
      <c r="D19" s="273">
        <v>0</v>
      </c>
      <c r="E19" s="274">
        <v>0</v>
      </c>
      <c r="F19" s="77"/>
      <c r="G19" s="85" t="s">
        <v>66</v>
      </c>
      <c r="H19" s="272">
        <f>5+8+5+6+3</f>
        <v>27</v>
      </c>
      <c r="I19" s="275">
        <f>222.25+330.11+161.96+192.26+77.23</f>
        <v>983.81000000000006</v>
      </c>
      <c r="J19" s="275">
        <f>7407.77+11003.72+5398.47+6408.78+2574.18</f>
        <v>32792.92</v>
      </c>
      <c r="K19" s="274">
        <f>2000.08+2971.01+1457.59+1730.38+695.03</f>
        <v>8854.09</v>
      </c>
    </row>
    <row r="20" spans="1:13" ht="15" x14ac:dyDescent="0.25">
      <c r="A20" s="271" t="s">
        <v>67</v>
      </c>
      <c r="B20" s="272">
        <v>0</v>
      </c>
      <c r="C20" s="273">
        <v>0</v>
      </c>
      <c r="D20" s="273">
        <v>0</v>
      </c>
      <c r="E20" s="274">
        <v>0</v>
      </c>
      <c r="F20" s="77"/>
      <c r="G20" s="85" t="s">
        <v>67</v>
      </c>
      <c r="H20" s="272">
        <f>1+3+3</f>
        <v>7</v>
      </c>
      <c r="I20" s="275">
        <f>53.44+87.96+120.94</f>
        <v>262.33999999999997</v>
      </c>
      <c r="J20" s="275">
        <f>1781.26+2931.8+4030</f>
        <v>8743.0600000000013</v>
      </c>
      <c r="K20" s="274">
        <f>480.94+791.59+1088.09</f>
        <v>2360.62</v>
      </c>
    </row>
    <row r="21" spans="1:13" ht="15" x14ac:dyDescent="0.25">
      <c r="A21" s="277" t="s">
        <v>0</v>
      </c>
      <c r="B21" s="278">
        <f>SUM(B9:B20)</f>
        <v>130</v>
      </c>
      <c r="C21" s="279">
        <f>SUM(C9:C20)</f>
        <v>4713.7300000000005</v>
      </c>
      <c r="D21" s="280">
        <f>SUM(D9:D20)</f>
        <v>139174.35999999999</v>
      </c>
      <c r="E21" s="281">
        <f>SUM(E9:E20)</f>
        <v>42970.520000000004</v>
      </c>
      <c r="F21" s="77"/>
      <c r="G21" s="86" t="s">
        <v>0</v>
      </c>
      <c r="H21" s="94">
        <f>SUM(H9:H20)</f>
        <v>171</v>
      </c>
      <c r="I21" s="122">
        <f>SUM(I9:I20)</f>
        <v>6306.7300000000005</v>
      </c>
      <c r="J21" s="122">
        <f>SUM(J9:J20)</f>
        <v>210219.89</v>
      </c>
      <c r="K21" s="123">
        <f>SUM(K9:K20)</f>
        <v>56759.30999999999</v>
      </c>
    </row>
    <row r="22" spans="1:13" ht="15" x14ac:dyDescent="0.25">
      <c r="A22" s="135" t="s">
        <v>158</v>
      </c>
      <c r="B22" s="79"/>
      <c r="C22" s="79"/>
      <c r="D22" s="79"/>
      <c r="F22" s="77"/>
      <c r="G22" s="87"/>
      <c r="H22" s="79"/>
      <c r="I22" s="2" t="s">
        <v>201</v>
      </c>
    </row>
    <row r="23" spans="1:13" ht="15" x14ac:dyDescent="0.25">
      <c r="A23" s="79"/>
      <c r="B23" s="79"/>
      <c r="C23" s="79"/>
      <c r="D23" s="79"/>
      <c r="E23" s="79"/>
      <c r="F23" s="77"/>
      <c r="G23" s="79"/>
      <c r="H23" s="79"/>
      <c r="I23" s="79"/>
      <c r="J23" s="79"/>
      <c r="K23" s="79"/>
    </row>
    <row r="24" spans="1:13" ht="15" x14ac:dyDescent="0.25">
      <c r="A24" s="88"/>
      <c r="B24" s="79"/>
      <c r="C24" s="89"/>
      <c r="D24" s="169"/>
      <c r="E24" s="79"/>
      <c r="F24" s="77"/>
      <c r="G24" s="88"/>
      <c r="H24" s="79"/>
      <c r="I24" s="79"/>
      <c r="J24" s="79"/>
      <c r="K24" s="79"/>
      <c r="M24" s="45"/>
    </row>
    <row r="25" spans="1:13" ht="15" x14ac:dyDescent="0.25">
      <c r="A25" s="79"/>
      <c r="B25" s="79"/>
      <c r="C25" s="79"/>
      <c r="D25" s="79"/>
      <c r="E25" s="79"/>
      <c r="F25" s="77"/>
      <c r="G25" s="79"/>
      <c r="H25" s="79"/>
      <c r="I25" s="79"/>
      <c r="J25" s="79"/>
      <c r="K25" s="79"/>
    </row>
    <row r="26" spans="1:13" ht="15" x14ac:dyDescent="0.25">
      <c r="A26" s="88"/>
      <c r="B26" s="79"/>
      <c r="C26" s="79"/>
      <c r="D26" s="79"/>
      <c r="E26" s="79"/>
      <c r="F26" s="77"/>
      <c r="G26" s="88"/>
      <c r="H26" s="79"/>
      <c r="I26" s="79" t="s">
        <v>16</v>
      </c>
      <c r="J26" s="79"/>
      <c r="K26" s="79"/>
    </row>
    <row r="27" spans="1:13" ht="15" x14ac:dyDescent="0.25">
      <c r="A27" s="79"/>
      <c r="B27" s="89"/>
      <c r="C27" s="89"/>
      <c r="D27" s="89"/>
      <c r="E27" s="89"/>
      <c r="F27" s="77"/>
      <c r="G27" s="79"/>
      <c r="H27" s="89"/>
      <c r="I27" s="79" t="s">
        <v>225</v>
      </c>
      <c r="J27" s="89"/>
      <c r="K27" s="79"/>
    </row>
    <row r="28" spans="1:13" ht="15" x14ac:dyDescent="0.25">
      <c r="A28" s="77"/>
      <c r="B28" s="77"/>
      <c r="C28" s="90"/>
      <c r="E28" s="77"/>
      <c r="F28" s="79"/>
      <c r="G28" s="77"/>
      <c r="H28" s="77"/>
      <c r="I28" s="79" t="s">
        <v>226</v>
      </c>
      <c r="J28" s="79"/>
      <c r="K28" s="77"/>
    </row>
    <row r="29" spans="1:13" ht="15" x14ac:dyDescent="0.25">
      <c r="A29" s="77"/>
      <c r="B29" s="77"/>
      <c r="C29" s="79"/>
      <c r="E29" s="77"/>
      <c r="F29" s="91"/>
      <c r="G29" s="77"/>
      <c r="H29" s="77"/>
      <c r="I29" s="79"/>
      <c r="J29" s="79"/>
      <c r="K29" s="77"/>
    </row>
    <row r="30" spans="1:13" ht="15" x14ac:dyDescent="0.25">
      <c r="A30" s="92"/>
      <c r="B30" s="77"/>
      <c r="C30" s="79"/>
      <c r="D30" s="45"/>
      <c r="E30" s="77"/>
      <c r="F30" s="88"/>
      <c r="G30" s="92"/>
      <c r="H30" s="77"/>
      <c r="I30" s="79"/>
      <c r="J30" s="79"/>
      <c r="K30" s="77"/>
    </row>
    <row r="31" spans="1:13" ht="15" x14ac:dyDescent="0.25">
      <c r="A31" s="90"/>
      <c r="B31" s="77"/>
      <c r="C31" s="90"/>
      <c r="D31" s="90"/>
      <c r="E31" s="90"/>
      <c r="F31" s="77"/>
      <c r="G31" s="77"/>
      <c r="H31" s="77"/>
      <c r="I31" s="77"/>
      <c r="J31" s="77"/>
      <c r="K31" s="77"/>
    </row>
    <row r="32" spans="1:13" ht="15" x14ac:dyDescent="0.25">
      <c r="A32" s="77"/>
      <c r="B32" s="77"/>
      <c r="C32" s="77"/>
      <c r="D32" s="77"/>
      <c r="E32" s="77"/>
    </row>
    <row r="33" spans="1:5" ht="15" x14ac:dyDescent="0.25">
      <c r="A33" s="77"/>
      <c r="B33" s="77"/>
      <c r="C33" s="77"/>
      <c r="D33" s="77"/>
      <c r="E33" s="77"/>
    </row>
    <row r="34" spans="1:5" ht="15" x14ac:dyDescent="0.25">
      <c r="A34" s="77"/>
      <c r="B34" s="77"/>
      <c r="C34" s="77"/>
      <c r="D34" s="77"/>
      <c r="E34" s="77"/>
    </row>
    <row r="35" spans="1:5" ht="15" x14ac:dyDescent="0.25">
      <c r="A35" s="79"/>
      <c r="B35" s="77"/>
      <c r="C35" s="77"/>
      <c r="D35" s="77"/>
      <c r="E35" s="77"/>
    </row>
    <row r="36" spans="1:5" x14ac:dyDescent="0.2">
      <c r="A36" s="93"/>
      <c r="B36" s="79"/>
      <c r="C36" s="79"/>
      <c r="D36" s="79"/>
      <c r="E36" s="79"/>
    </row>
    <row r="37" spans="1:5" ht="15" x14ac:dyDescent="0.25">
      <c r="A37" s="77"/>
      <c r="B37" s="90"/>
      <c r="C37" s="90"/>
      <c r="D37" s="90"/>
      <c r="E37" s="79"/>
    </row>
    <row r="38" spans="1:5" ht="15" x14ac:dyDescent="0.25">
      <c r="A38" s="77"/>
      <c r="B38" s="90"/>
      <c r="C38" s="90"/>
      <c r="D38" s="90"/>
      <c r="E38" s="79"/>
    </row>
    <row r="39" spans="1:5" x14ac:dyDescent="0.2">
      <c r="A39" s="79"/>
      <c r="B39" s="79"/>
      <c r="C39" s="79"/>
      <c r="D39" s="79"/>
      <c r="E39" s="79"/>
    </row>
    <row r="40" spans="1:5" x14ac:dyDescent="0.2">
      <c r="A40" s="79"/>
      <c r="B40" s="79"/>
      <c r="C40" s="79"/>
      <c r="D40" s="79"/>
      <c r="E40" s="79"/>
    </row>
    <row r="41" spans="1:5" x14ac:dyDescent="0.2">
      <c r="A41" s="79"/>
      <c r="B41" s="79"/>
      <c r="C41" s="79"/>
      <c r="D41" s="79"/>
      <c r="E41" s="79"/>
    </row>
    <row r="42" spans="1:5" x14ac:dyDescent="0.2">
      <c r="A42" s="79"/>
      <c r="B42" s="79"/>
      <c r="C42" s="79"/>
      <c r="D42" s="79"/>
      <c r="E42" s="79"/>
    </row>
    <row r="43" spans="1:5" x14ac:dyDescent="0.2">
      <c r="A43" s="79"/>
      <c r="B43" s="79"/>
      <c r="C43" s="79"/>
      <c r="D43" s="79"/>
      <c r="E43" s="79"/>
    </row>
    <row r="44" spans="1:5" x14ac:dyDescent="0.2">
      <c r="A44" s="79"/>
      <c r="B44" s="79"/>
      <c r="C44" s="79"/>
      <c r="D44" s="79"/>
      <c r="E44" s="79"/>
    </row>
    <row r="45" spans="1:5" x14ac:dyDescent="0.2">
      <c r="A45" s="79"/>
      <c r="B45" s="79"/>
      <c r="C45" s="79"/>
      <c r="D45" s="79"/>
      <c r="E45" s="79"/>
    </row>
    <row r="46" spans="1:5" x14ac:dyDescent="0.2">
      <c r="A46" s="79"/>
      <c r="B46" s="79"/>
      <c r="C46" s="79"/>
      <c r="D46" s="79"/>
      <c r="E46" s="79"/>
    </row>
    <row r="47" spans="1:5" x14ac:dyDescent="0.2">
      <c r="A47" s="79"/>
      <c r="B47" s="79"/>
      <c r="C47" s="79"/>
      <c r="D47" s="79"/>
      <c r="E47" s="79"/>
    </row>
  </sheetData>
  <mergeCells count="8">
    <mergeCell ref="A4:E4"/>
    <mergeCell ref="A5:E5"/>
    <mergeCell ref="B7:E7"/>
    <mergeCell ref="A6:E6"/>
    <mergeCell ref="G4:K4"/>
    <mergeCell ref="G5:K5"/>
    <mergeCell ref="G6:K6"/>
    <mergeCell ref="H7:K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9" zoomScale="110" zoomScaleNormal="110" workbookViewId="0">
      <selection activeCell="B16" sqref="B16"/>
    </sheetView>
  </sheetViews>
  <sheetFormatPr baseColWidth="10" defaultRowHeight="12.75" x14ac:dyDescent="0.2"/>
  <cols>
    <col min="1" max="1" width="11.5703125" customWidth="1"/>
    <col min="2" max="2" width="12.140625" customWidth="1"/>
    <col min="3" max="3" width="11.85546875" customWidth="1"/>
    <col min="4" max="4" width="12.7109375" customWidth="1"/>
    <col min="5" max="5" width="12.28515625" customWidth="1"/>
    <col min="6" max="6" width="2.28515625" customWidth="1"/>
    <col min="7" max="7" width="11.28515625" customWidth="1"/>
    <col min="8" max="8" width="12.28515625" customWidth="1"/>
    <col min="9" max="9" width="10.42578125" customWidth="1"/>
    <col min="10" max="10" width="13.28515625" customWidth="1"/>
    <col min="11" max="11" width="15.85546875" customWidth="1"/>
    <col min="14" max="14" width="0" hidden="1" customWidth="1"/>
  </cols>
  <sheetData>
    <row r="1" spans="1:14" x14ac:dyDescent="0.2">
      <c r="K1" s="18" t="s">
        <v>124</v>
      </c>
    </row>
    <row r="4" spans="1:14" x14ac:dyDescent="0.2">
      <c r="A4" s="515" t="s">
        <v>77</v>
      </c>
      <c r="B4" s="515"/>
      <c r="C4" s="515"/>
      <c r="D4" s="515"/>
      <c r="E4" s="515"/>
      <c r="F4" s="2"/>
      <c r="G4" s="515" t="s">
        <v>77</v>
      </c>
      <c r="H4" s="515"/>
      <c r="I4" s="515"/>
      <c r="J4" s="515"/>
      <c r="K4" s="515"/>
    </row>
    <row r="5" spans="1:14" x14ac:dyDescent="0.2">
      <c r="A5" s="515" t="s">
        <v>211</v>
      </c>
      <c r="B5" s="515"/>
      <c r="C5" s="515"/>
      <c r="D5" s="515"/>
      <c r="E5" s="515"/>
      <c r="F5" s="2"/>
      <c r="G5" s="515" t="s">
        <v>218</v>
      </c>
      <c r="H5" s="515"/>
      <c r="I5" s="515"/>
      <c r="J5" s="515"/>
      <c r="K5" s="515"/>
    </row>
    <row r="6" spans="1:14" x14ac:dyDescent="0.2">
      <c r="A6" s="46"/>
      <c r="B6" s="46"/>
      <c r="C6" s="46"/>
      <c r="D6" s="46"/>
      <c r="E6" s="46"/>
      <c r="F6" s="2"/>
      <c r="G6" s="46"/>
      <c r="H6" s="46"/>
      <c r="I6" s="46"/>
      <c r="J6" s="46"/>
      <c r="K6" s="46"/>
    </row>
    <row r="7" spans="1:14" ht="12.75" customHeight="1" x14ac:dyDescent="0.2">
      <c r="A7" s="22"/>
      <c r="B7" s="508" t="s">
        <v>224</v>
      </c>
      <c r="C7" s="509"/>
      <c r="D7" s="509"/>
      <c r="E7" s="510"/>
      <c r="G7" s="22"/>
      <c r="H7" s="516" t="s">
        <v>209</v>
      </c>
      <c r="I7" s="517"/>
      <c r="J7" s="517"/>
      <c r="K7" s="518"/>
    </row>
    <row r="8" spans="1:14" ht="45" x14ac:dyDescent="0.2">
      <c r="A8" s="36" t="s">
        <v>71</v>
      </c>
      <c r="B8" s="23" t="s">
        <v>72</v>
      </c>
      <c r="C8" s="24" t="s">
        <v>73</v>
      </c>
      <c r="D8" s="145" t="s">
        <v>74</v>
      </c>
      <c r="E8" s="25" t="s">
        <v>75</v>
      </c>
      <c r="G8" s="36" t="s">
        <v>71</v>
      </c>
      <c r="H8" s="95" t="s">
        <v>72</v>
      </c>
      <c r="I8" s="38" t="s">
        <v>73</v>
      </c>
      <c r="J8" s="38" t="s">
        <v>79</v>
      </c>
      <c r="K8" s="96" t="s">
        <v>75</v>
      </c>
    </row>
    <row r="9" spans="1:14" x14ac:dyDescent="0.2">
      <c r="A9" s="289" t="s">
        <v>56</v>
      </c>
      <c r="B9" s="290">
        <f>6+27+27+23</f>
        <v>83</v>
      </c>
      <c r="C9" s="462">
        <f>3.17+45+29.7+38.1</f>
        <v>115.97</v>
      </c>
      <c r="D9" s="462">
        <f>24638.48+3269.13+26008.04+29396.11</f>
        <v>83311.760000000009</v>
      </c>
      <c r="E9" s="462">
        <f>2911.24+24127.57+28433.94+23292.31</f>
        <v>78765.06</v>
      </c>
      <c r="G9" s="32" t="s">
        <v>56</v>
      </c>
      <c r="H9" s="290">
        <f>20+21+28+19</f>
        <v>88</v>
      </c>
      <c r="I9" s="291">
        <f>17.33+26.65+19.58+28.95</f>
        <v>92.509999999999991</v>
      </c>
      <c r="J9" s="291">
        <f>15980.58+22332.63+23862.11+18353.55</f>
        <v>80528.87</v>
      </c>
      <c r="K9" s="291">
        <f>14147.82+20585.43+21135.63+17539.43</f>
        <v>73408.31</v>
      </c>
      <c r="L9" s="102" t="s">
        <v>11</v>
      </c>
      <c r="M9" s="45"/>
      <c r="N9" s="45"/>
    </row>
    <row r="10" spans="1:14" x14ac:dyDescent="0.2">
      <c r="A10" s="289" t="s">
        <v>57</v>
      </c>
      <c r="B10" s="290">
        <f>14+36+15+20</f>
        <v>85</v>
      </c>
      <c r="C10" s="462">
        <f>27.96+80.93+22.96+34.61</f>
        <v>166.46000000000004</v>
      </c>
      <c r="D10" s="462">
        <f>11918.23+42320.92+11519.7+17195</f>
        <v>82953.849999999991</v>
      </c>
      <c r="E10" s="462">
        <f>11841.22+40285.89+10759.68+16423.37</f>
        <v>79310.16</v>
      </c>
      <c r="F10" s="184"/>
      <c r="G10" s="27" t="s">
        <v>57</v>
      </c>
      <c r="H10" s="293">
        <f>13+41+18+16</f>
        <v>88</v>
      </c>
      <c r="I10" s="294">
        <f>25.6+22.45+19.17+9.69</f>
        <v>76.91</v>
      </c>
      <c r="J10" s="294">
        <f>10831+32854.39+21010.54+11006.95</f>
        <v>75702.880000000005</v>
      </c>
      <c r="K10" s="295">
        <f>10535.65+28645.3+20991.37+10997.26</f>
        <v>71169.579999999987</v>
      </c>
      <c r="L10" s="99" t="s">
        <v>11</v>
      </c>
      <c r="M10" s="12"/>
      <c r="N10" s="12"/>
    </row>
    <row r="11" spans="1:14" x14ac:dyDescent="0.2">
      <c r="A11" s="289" t="s">
        <v>58</v>
      </c>
      <c r="B11" s="290">
        <f>13+38+32+16</f>
        <v>99</v>
      </c>
      <c r="C11" s="462">
        <f>24.35+46.45+49.87+9.37</f>
        <v>130.04000000000002</v>
      </c>
      <c r="D11" s="462">
        <f>18680.72+28430+13235.38</f>
        <v>60346.1</v>
      </c>
      <c r="E11" s="462">
        <f>18223.02+26465.08+38294.74+11359.07</f>
        <v>94341.91</v>
      </c>
      <c r="G11" s="98" t="s">
        <v>58</v>
      </c>
      <c r="H11" s="293">
        <f>22+16+14</f>
        <v>52</v>
      </c>
      <c r="I11" s="294">
        <f>9.22+18.28+14.59</f>
        <v>42.09</v>
      </c>
      <c r="J11" s="294">
        <f>14677.7+17967.95+11380.53</f>
        <v>44026.18</v>
      </c>
      <c r="K11" s="295">
        <f>12693.5+16548.79+10417.6</f>
        <v>39659.89</v>
      </c>
      <c r="L11" s="99" t="s">
        <v>11</v>
      </c>
      <c r="M11" s="100"/>
      <c r="N11" s="12"/>
    </row>
    <row r="12" spans="1:14" x14ac:dyDescent="0.2">
      <c r="A12" s="289" t="s">
        <v>59</v>
      </c>
      <c r="B12" s="290">
        <f>10+19+21+12</f>
        <v>62</v>
      </c>
      <c r="C12" s="462">
        <f>18.47+3.72+39.21+10.05</f>
        <v>71.45</v>
      </c>
      <c r="D12" s="462">
        <f>8755.18+16897.07+20157.97+9074.67</f>
        <v>54884.89</v>
      </c>
      <c r="E12" s="462">
        <f>8614.08+14815.36+19360.25+8107.93</f>
        <v>50897.62</v>
      </c>
      <c r="G12" s="32" t="s">
        <v>59</v>
      </c>
      <c r="H12" s="293">
        <v>0</v>
      </c>
      <c r="I12" s="294">
        <v>0</v>
      </c>
      <c r="J12" s="294">
        <v>0</v>
      </c>
      <c r="K12" s="295">
        <v>0</v>
      </c>
      <c r="L12" s="99" t="s">
        <v>11</v>
      </c>
      <c r="M12" s="101"/>
      <c r="N12" s="12"/>
    </row>
    <row r="13" spans="1:14" x14ac:dyDescent="0.2">
      <c r="A13" s="289" t="s">
        <v>60</v>
      </c>
      <c r="B13" s="290">
        <f>10+26+11+20+29</f>
        <v>96</v>
      </c>
      <c r="C13" s="462">
        <f>5.57+15.48+16.1+21.62+26.32</f>
        <v>85.09</v>
      </c>
      <c r="D13" s="462">
        <f>7991.61+21791.53+10050.55+20668.81+25065.31</f>
        <v>85567.81</v>
      </c>
      <c r="E13" s="462">
        <f>6763.96+19099.08+9621.83+18104.51+22362.97</f>
        <v>75952.350000000006</v>
      </c>
      <c r="G13" s="32" t="s">
        <v>60</v>
      </c>
      <c r="H13" s="293">
        <f>20</f>
        <v>20</v>
      </c>
      <c r="I13" s="294">
        <f>14.31</f>
        <v>14.31</v>
      </c>
      <c r="J13" s="294">
        <f>13720.367</f>
        <v>13720.367</v>
      </c>
      <c r="K13" s="295">
        <f>13706.06</f>
        <v>13706.06</v>
      </c>
      <c r="L13" s="102" t="s">
        <v>11</v>
      </c>
      <c r="M13" s="100"/>
      <c r="N13" s="12"/>
    </row>
    <row r="14" spans="1:14" x14ac:dyDescent="0.2">
      <c r="A14" s="289" t="s">
        <v>61</v>
      </c>
      <c r="B14" s="290">
        <f>7+32+29+14</f>
        <v>82</v>
      </c>
      <c r="C14" s="291">
        <f>0+43.03+30.19+12.14</f>
        <v>85.36</v>
      </c>
      <c r="D14" s="291">
        <f>6422.82+31832.52+23203.78+11814.97</f>
        <v>73274.09</v>
      </c>
      <c r="E14" s="291">
        <f>5643.56+31903.81+21322.08+10883.47</f>
        <v>69752.92</v>
      </c>
      <c r="G14" s="32" t="s">
        <v>61</v>
      </c>
      <c r="H14" s="293">
        <f>2</f>
        <v>2</v>
      </c>
      <c r="I14" s="294">
        <f>3.95</f>
        <v>3.95</v>
      </c>
      <c r="J14" s="294">
        <v>2601.6</v>
      </c>
      <c r="K14" s="295">
        <f>2301.88</f>
        <v>2301.88</v>
      </c>
      <c r="L14" s="99" t="s">
        <v>11</v>
      </c>
      <c r="M14" s="102"/>
      <c r="N14" s="12"/>
    </row>
    <row r="15" spans="1:14" x14ac:dyDescent="0.2">
      <c r="A15" s="292" t="s">
        <v>62</v>
      </c>
      <c r="B15" s="290">
        <f>22+18+18+17</f>
        <v>75</v>
      </c>
      <c r="C15" s="291">
        <f>28.26+46.63+32.48+11</f>
        <v>118.37</v>
      </c>
      <c r="D15" s="291">
        <f>21014.55+22026.21+16693.45+14003.06</f>
        <v>73737.26999999999</v>
      </c>
      <c r="E15" s="291">
        <f>18707.95+20912.84+15610.11+12762.69</f>
        <v>67993.59</v>
      </c>
      <c r="G15" s="32" t="s">
        <v>62</v>
      </c>
      <c r="H15" s="293">
        <f>1+3+2</f>
        <v>6</v>
      </c>
      <c r="I15" s="294">
        <f>24.35</f>
        <v>24.35</v>
      </c>
      <c r="J15" s="294">
        <f>1637.1+7095.82+978.26</f>
        <v>9711.18</v>
      </c>
      <c r="K15" s="295">
        <f>1262.97+7200.53+742.15</f>
        <v>9205.65</v>
      </c>
      <c r="L15" s="102" t="s">
        <v>11</v>
      </c>
      <c r="M15" s="102"/>
      <c r="N15" s="45"/>
    </row>
    <row r="16" spans="1:14" x14ac:dyDescent="0.2">
      <c r="A16" s="289" t="s">
        <v>63</v>
      </c>
      <c r="B16" s="290">
        <v>0</v>
      </c>
      <c r="C16" s="291">
        <v>0</v>
      </c>
      <c r="D16" s="291">
        <v>0</v>
      </c>
      <c r="E16" s="291">
        <v>0</v>
      </c>
      <c r="G16" s="32" t="s">
        <v>63</v>
      </c>
      <c r="H16" s="293">
        <f>3+4+31</f>
        <v>38</v>
      </c>
      <c r="I16" s="294">
        <f>7.95+35.45</f>
        <v>43.400000000000006</v>
      </c>
      <c r="J16" s="294">
        <f>1880.78+3361.64+25935.55</f>
        <v>31177.97</v>
      </c>
      <c r="K16" s="295">
        <f>1643.92+3262.45+23693.7</f>
        <v>28600.07</v>
      </c>
      <c r="L16" s="103"/>
      <c r="M16" s="12"/>
      <c r="N16" s="12"/>
    </row>
    <row r="17" spans="1:15" x14ac:dyDescent="0.2">
      <c r="A17" s="289" t="s">
        <v>76</v>
      </c>
      <c r="B17" s="290">
        <v>0</v>
      </c>
      <c r="C17" s="291">
        <v>0</v>
      </c>
      <c r="D17" s="291">
        <v>0</v>
      </c>
      <c r="E17" s="291">
        <v>0</v>
      </c>
      <c r="G17" s="32" t="s">
        <v>76</v>
      </c>
      <c r="H17" s="293">
        <f>49+42+21+30</f>
        <v>142</v>
      </c>
      <c r="I17" s="294">
        <f>62.13+78.73+5.37+30.86</f>
        <v>177.09000000000003</v>
      </c>
      <c r="J17" s="294">
        <f>40555.56+47323.45+21513.12+28276.11</f>
        <v>137668.24</v>
      </c>
      <c r="K17" s="295">
        <f>37099.34+44246.57+17312.1+25276.54</f>
        <v>123934.55000000002</v>
      </c>
      <c r="L17" s="100"/>
      <c r="M17" s="12"/>
      <c r="N17" s="12"/>
    </row>
    <row r="18" spans="1:15" x14ac:dyDescent="0.2">
      <c r="A18" s="289" t="s">
        <v>64</v>
      </c>
      <c r="B18" s="290">
        <v>0</v>
      </c>
      <c r="C18" s="291">
        <v>0</v>
      </c>
      <c r="D18" s="291">
        <v>0</v>
      </c>
      <c r="E18" s="291">
        <v>0</v>
      </c>
      <c r="G18" s="32" t="s">
        <v>64</v>
      </c>
      <c r="H18" s="293">
        <f>25+31+42+35</f>
        <v>133</v>
      </c>
      <c r="I18" s="294">
        <f>24.92+23.31+38.51+35.78</f>
        <v>122.52000000000001</v>
      </c>
      <c r="J18" s="294">
        <f>22993.7+36941.46+33711.83+30650.19</f>
        <v>124297.18000000001</v>
      </c>
      <c r="K18" s="295">
        <f>21176.06+33917.56+30209.46+28328.77</f>
        <v>113631.84999999999</v>
      </c>
      <c r="L18" s="100"/>
      <c r="M18" s="104"/>
      <c r="N18" s="99"/>
    </row>
    <row r="19" spans="1:15" x14ac:dyDescent="0.2">
      <c r="A19" s="289" t="s">
        <v>66</v>
      </c>
      <c r="B19" s="290">
        <v>0</v>
      </c>
      <c r="C19" s="291">
        <v>0</v>
      </c>
      <c r="D19" s="291">
        <v>0</v>
      </c>
      <c r="E19" s="291">
        <v>0</v>
      </c>
      <c r="G19" s="32" t="s">
        <v>66</v>
      </c>
      <c r="H19" s="293">
        <f>11+25+23+26+28</f>
        <v>113</v>
      </c>
      <c r="I19" s="294">
        <f>1.27+3.08+15.89+41.72+43.99+21.98</f>
        <v>127.93</v>
      </c>
      <c r="J19" s="294">
        <f>8501.95+25806.53+23295.99+26615.75+26240.99</f>
        <v>110461.21</v>
      </c>
      <c r="K19" s="295">
        <f>7225.95+95.83+24377.99+22135.17+25289.88+24147.87</f>
        <v>103272.69</v>
      </c>
      <c r="L19" s="104"/>
      <c r="M19" s="12"/>
      <c r="N19" s="12"/>
      <c r="O19" s="12"/>
    </row>
    <row r="20" spans="1:15" x14ac:dyDescent="0.2">
      <c r="A20" s="289" t="s">
        <v>67</v>
      </c>
      <c r="B20" s="290">
        <v>0</v>
      </c>
      <c r="C20" s="291">
        <v>0</v>
      </c>
      <c r="D20" s="291">
        <v>0</v>
      </c>
      <c r="E20" s="291">
        <v>0</v>
      </c>
      <c r="G20" s="32" t="s">
        <v>67</v>
      </c>
      <c r="H20" s="293">
        <f>27+36+21</f>
        <v>84</v>
      </c>
      <c r="I20" s="294">
        <f>34.19+47.92+21.87</f>
        <v>103.98</v>
      </c>
      <c r="J20" s="294">
        <f>23360.51+31813.21+13960.8</f>
        <v>69134.52</v>
      </c>
      <c r="K20" s="295">
        <f>21837.46+29140.77+12813.96</f>
        <v>63792.189999999995</v>
      </c>
      <c r="L20" s="45"/>
      <c r="M20" s="100"/>
      <c r="N20" s="45"/>
    </row>
    <row r="21" spans="1:15" x14ac:dyDescent="0.2">
      <c r="A21" s="34" t="s">
        <v>0</v>
      </c>
      <c r="B21" s="105">
        <f>SUM(B9:B20)</f>
        <v>582</v>
      </c>
      <c r="C21" s="170">
        <f>SUM(C9:C20)</f>
        <v>772.74000000000012</v>
      </c>
      <c r="D21" s="170">
        <f>SUM(D9:D20)</f>
        <v>514075.77</v>
      </c>
      <c r="E21" s="170">
        <f>SUM(E9:E20)</f>
        <v>517013.61</v>
      </c>
      <c r="G21" s="34" t="s">
        <v>0</v>
      </c>
      <c r="H21" s="106">
        <f>SUM(H9:H20)</f>
        <v>766</v>
      </c>
      <c r="I21" s="107">
        <f>SUM(I9:I20)</f>
        <v>829.04</v>
      </c>
      <c r="J21" s="107">
        <f>SUM(J9:J20)</f>
        <v>699030.19700000004</v>
      </c>
      <c r="K21" s="107">
        <f>SUM(K9:K20)</f>
        <v>642682.72</v>
      </c>
      <c r="L21" s="12"/>
      <c r="M21" s="12"/>
    </row>
    <row r="22" spans="1:15" x14ac:dyDescent="0.2">
      <c r="A22" s="134" t="s">
        <v>158</v>
      </c>
      <c r="B22" s="2"/>
      <c r="C22" s="2"/>
      <c r="D22" s="2"/>
      <c r="E22" s="7"/>
      <c r="G22" s="30"/>
      <c r="H22" s="2"/>
      <c r="I22" s="2" t="s">
        <v>201</v>
      </c>
      <c r="J22" s="2"/>
    </row>
    <row r="23" spans="1:15" x14ac:dyDescent="0.2">
      <c r="A23" s="5"/>
      <c r="B23" s="2"/>
      <c r="C23" s="2"/>
      <c r="D23" s="2"/>
      <c r="E23" s="2"/>
      <c r="F23" s="2"/>
    </row>
    <row r="24" spans="1:15" x14ac:dyDescent="0.2">
      <c r="A24" s="131"/>
      <c r="B24" s="15"/>
    </row>
    <row r="25" spans="1:15" x14ac:dyDescent="0.2">
      <c r="A25" s="131"/>
      <c r="B25" s="2"/>
      <c r="C25" s="2"/>
      <c r="D25" s="2"/>
      <c r="E25" s="2"/>
      <c r="F25" s="2"/>
    </row>
    <row r="26" spans="1:15" x14ac:dyDescent="0.2">
      <c r="A26" s="131"/>
      <c r="B26" s="16"/>
      <c r="C26" s="2"/>
      <c r="D26" s="2"/>
      <c r="E26" s="2"/>
      <c r="F26" s="2"/>
    </row>
    <row r="27" spans="1:15" x14ac:dyDescent="0.2">
      <c r="A27" s="5"/>
      <c r="B27" s="2"/>
      <c r="C27" s="2"/>
      <c r="D27" s="2"/>
      <c r="E27" s="2"/>
      <c r="F27" s="2"/>
      <c r="J27" s="2"/>
    </row>
    <row r="28" spans="1:15" x14ac:dyDescent="0.2">
      <c r="A28" s="5"/>
      <c r="D28" s="2"/>
      <c r="E28" s="2"/>
      <c r="F28" s="2"/>
    </row>
    <row r="29" spans="1:15" x14ac:dyDescent="0.2">
      <c r="A29" s="5"/>
      <c r="B29" s="5"/>
      <c r="C29" s="5"/>
      <c r="D29" s="5"/>
      <c r="E29" s="5"/>
      <c r="F29" s="5"/>
      <c r="G29" s="5"/>
      <c r="I29" s="5" t="s">
        <v>120</v>
      </c>
      <c r="J29" s="5"/>
      <c r="K29" s="5"/>
    </row>
    <row r="30" spans="1:15" x14ac:dyDescent="0.2">
      <c r="A30" s="5"/>
      <c r="B30" s="5"/>
      <c r="C30" s="5"/>
      <c r="D30" s="5"/>
      <c r="E30" s="5"/>
      <c r="F30" s="5"/>
      <c r="G30" s="5"/>
      <c r="I30" s="5" t="s">
        <v>112</v>
      </c>
      <c r="J30" s="5"/>
      <c r="K30" s="5"/>
    </row>
    <row r="31" spans="1:15" x14ac:dyDescent="0.2">
      <c r="A31" s="5"/>
      <c r="B31" s="5"/>
      <c r="C31" s="5"/>
      <c r="D31" s="5"/>
      <c r="E31" s="5"/>
      <c r="F31" s="5"/>
      <c r="G31" s="5"/>
      <c r="I31" s="5" t="s">
        <v>121</v>
      </c>
      <c r="J31" s="5"/>
      <c r="K31" s="5"/>
    </row>
    <row r="32" spans="1:15" x14ac:dyDescent="0.2">
      <c r="A32" s="108"/>
      <c r="B32" s="10"/>
      <c r="C32" s="10"/>
      <c r="F32" s="2"/>
    </row>
    <row r="33" spans="1:9" x14ac:dyDescent="0.2">
      <c r="A33" s="10"/>
      <c r="F33" s="2"/>
      <c r="H33" s="2"/>
      <c r="I33" s="2"/>
    </row>
    <row r="34" spans="1:9" x14ac:dyDescent="0.2">
      <c r="A34" s="29"/>
      <c r="B34" s="2"/>
      <c r="C34" s="2"/>
      <c r="D34" s="2"/>
      <c r="E34" s="2"/>
      <c r="F34" s="2"/>
      <c r="H34" s="2"/>
      <c r="I34" s="2"/>
    </row>
    <row r="35" spans="1:9" x14ac:dyDescent="0.2">
      <c r="B35" s="4"/>
      <c r="C35" s="4"/>
      <c r="D35" s="4"/>
      <c r="E35" s="2"/>
      <c r="F35" s="2"/>
      <c r="H35" s="2"/>
      <c r="I35" s="2"/>
    </row>
    <row r="36" spans="1:9" x14ac:dyDescent="0.2">
      <c r="B36" s="4"/>
      <c r="C36" s="4"/>
      <c r="D36" s="4"/>
      <c r="E36" s="2"/>
      <c r="F36" s="2"/>
    </row>
    <row r="37" spans="1:9" x14ac:dyDescent="0.2">
      <c r="A37" s="2"/>
      <c r="B37" s="2"/>
      <c r="C37" s="2"/>
      <c r="D37" s="2"/>
      <c r="E37" s="2"/>
      <c r="F37" s="2"/>
    </row>
    <row r="38" spans="1:9" x14ac:dyDescent="0.2">
      <c r="A38" s="2"/>
      <c r="B38" s="2"/>
      <c r="C38" s="2"/>
      <c r="D38" s="2"/>
      <c r="E38" s="2"/>
      <c r="F38" s="2"/>
    </row>
    <row r="39" spans="1:9" x14ac:dyDescent="0.2">
      <c r="A39" s="2"/>
      <c r="B39" s="2"/>
      <c r="C39" s="2"/>
      <c r="D39" s="2"/>
      <c r="E39" s="2"/>
      <c r="F39" s="2"/>
    </row>
    <row r="40" spans="1:9" x14ac:dyDescent="0.2">
      <c r="A40" s="2"/>
      <c r="B40" s="2"/>
      <c r="C40" s="2"/>
      <c r="D40" s="2"/>
      <c r="E40" s="2"/>
      <c r="F40" s="2"/>
    </row>
    <row r="41" spans="1:9" x14ac:dyDescent="0.2">
      <c r="A41" s="2"/>
      <c r="B41" s="2"/>
      <c r="C41" s="2"/>
      <c r="D41" s="2"/>
      <c r="E41" s="2"/>
      <c r="F41" s="2"/>
    </row>
    <row r="42" spans="1:9" x14ac:dyDescent="0.2">
      <c r="A42" s="2"/>
      <c r="B42" s="2"/>
      <c r="C42" s="2"/>
      <c r="D42" s="2"/>
      <c r="E42" s="2"/>
      <c r="F42" s="2"/>
    </row>
    <row r="43" spans="1:9" x14ac:dyDescent="0.2">
      <c r="A43" s="2"/>
      <c r="B43" s="2"/>
      <c r="C43" s="2"/>
      <c r="D43" s="2"/>
      <c r="E43" s="2"/>
      <c r="F43" s="2"/>
    </row>
    <row r="44" spans="1:9" x14ac:dyDescent="0.2">
      <c r="A44" s="2"/>
      <c r="B44" s="2"/>
      <c r="C44" s="2"/>
      <c r="D44" s="2"/>
      <c r="E44" s="2"/>
      <c r="F44" s="2"/>
    </row>
    <row r="45" spans="1:9" x14ac:dyDescent="0.2">
      <c r="A45" s="2"/>
      <c r="B45" s="2"/>
      <c r="C45" s="2"/>
      <c r="D45" s="2"/>
      <c r="E45" s="2"/>
      <c r="F45" s="2"/>
    </row>
  </sheetData>
  <mergeCells count="6">
    <mergeCell ref="A4:E4"/>
    <mergeCell ref="G4:K4"/>
    <mergeCell ref="A5:E5"/>
    <mergeCell ref="G5:K5"/>
    <mergeCell ref="B7:E7"/>
    <mergeCell ref="H7:K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2"/>
  <sheetViews>
    <sheetView topLeftCell="A12" zoomScale="150" zoomScaleNormal="150" workbookViewId="0">
      <selection activeCell="F19" sqref="F19"/>
    </sheetView>
  </sheetViews>
  <sheetFormatPr baseColWidth="10" defaultRowHeight="12.75" x14ac:dyDescent="0.2"/>
  <cols>
    <col min="1" max="1" width="1.5703125" customWidth="1"/>
    <col min="2" max="2" width="11.140625" customWidth="1"/>
    <col min="3" max="3" width="9.42578125" customWidth="1"/>
    <col min="4" max="4" width="10.5703125" customWidth="1"/>
    <col min="5" max="5" width="15.140625" customWidth="1"/>
    <col min="6" max="6" width="14.85546875" customWidth="1"/>
    <col min="7" max="7" width="3.85546875" customWidth="1"/>
    <col min="8" max="8" width="11.42578125" customWidth="1"/>
    <col min="9" max="9" width="8.85546875" customWidth="1"/>
    <col min="10" max="10" width="10.42578125" customWidth="1"/>
    <col min="11" max="12" width="14.140625" customWidth="1"/>
    <col min="13" max="14" width="12.28515625" bestFit="1" customWidth="1"/>
  </cols>
  <sheetData>
    <row r="3" spans="1:15" x14ac:dyDescent="0.2">
      <c r="L3" s="18" t="s">
        <v>125</v>
      </c>
    </row>
    <row r="5" spans="1:15" x14ac:dyDescent="0.2">
      <c r="B5" s="20"/>
    </row>
    <row r="6" spans="1:15" x14ac:dyDescent="0.2">
      <c r="B6" s="21"/>
      <c r="C6" s="21"/>
      <c r="D6" s="21"/>
      <c r="E6" s="21"/>
    </row>
    <row r="7" spans="1:15" x14ac:dyDescent="0.2">
      <c r="B7" s="21"/>
      <c r="C7" s="21"/>
      <c r="D7" s="21"/>
      <c r="E7" s="21"/>
    </row>
    <row r="8" spans="1:15" x14ac:dyDescent="0.2">
      <c r="B8" s="515" t="s">
        <v>78</v>
      </c>
      <c r="C8" s="515"/>
      <c r="D8" s="515"/>
      <c r="E8" s="515"/>
      <c r="F8" s="515"/>
      <c r="G8" s="2"/>
      <c r="H8" s="515" t="s">
        <v>78</v>
      </c>
      <c r="I8" s="515"/>
      <c r="J8" s="515"/>
      <c r="K8" s="515"/>
      <c r="L8" s="515"/>
    </row>
    <row r="9" spans="1:15" x14ac:dyDescent="0.2">
      <c r="B9" s="519" t="s">
        <v>223</v>
      </c>
      <c r="C9" s="519"/>
      <c r="D9" s="519"/>
      <c r="E9" s="519"/>
      <c r="F9" s="519"/>
      <c r="G9" s="2"/>
      <c r="H9" s="519" t="s">
        <v>188</v>
      </c>
      <c r="I9" s="519"/>
      <c r="J9" s="519"/>
      <c r="K9" s="519"/>
      <c r="L9" s="519"/>
    </row>
    <row r="10" spans="1:15" ht="12.75" customHeight="1" x14ac:dyDescent="0.2">
      <c r="B10" s="22"/>
      <c r="C10" s="508" t="s">
        <v>224</v>
      </c>
      <c r="D10" s="509"/>
      <c r="E10" s="509"/>
      <c r="F10" s="510"/>
      <c r="H10" s="22"/>
      <c r="I10" s="516" t="s">
        <v>202</v>
      </c>
      <c r="J10" s="517"/>
      <c r="K10" s="517"/>
      <c r="L10" s="520"/>
    </row>
    <row r="11" spans="1:15" ht="45" x14ac:dyDescent="0.2">
      <c r="B11" s="36" t="s">
        <v>71</v>
      </c>
      <c r="C11" s="43" t="s">
        <v>122</v>
      </c>
      <c r="D11" s="38" t="s">
        <v>73</v>
      </c>
      <c r="E11" s="145" t="s">
        <v>74</v>
      </c>
      <c r="F11" s="31" t="s">
        <v>80</v>
      </c>
      <c r="H11" s="36" t="s">
        <v>71</v>
      </c>
      <c r="I11" s="43" t="s">
        <v>123</v>
      </c>
      <c r="J11" s="38" t="s">
        <v>73</v>
      </c>
      <c r="K11" s="38" t="s">
        <v>79</v>
      </c>
      <c r="L11" s="31" t="s">
        <v>80</v>
      </c>
      <c r="N11" s="310"/>
    </row>
    <row r="12" spans="1:15" x14ac:dyDescent="0.2">
      <c r="A12" s="298"/>
      <c r="B12" s="32" t="s">
        <v>56</v>
      </c>
      <c r="C12" s="41">
        <f>5+32+5+5</f>
        <v>47</v>
      </c>
      <c r="D12" s="462">
        <f>50.02+242.47+44.1+58.25</f>
        <v>394.84000000000003</v>
      </c>
      <c r="E12" s="462">
        <f>9214.2+61845.48+8130.6+10846.2</f>
        <v>90036.48000000001</v>
      </c>
      <c r="F12" s="462">
        <f>9664.27+67186.15+8527.34+11370.32</f>
        <v>96748.079999999987</v>
      </c>
      <c r="H12" s="32" t="s">
        <v>56</v>
      </c>
      <c r="I12" s="41">
        <f>11+12+7+9</f>
        <v>39</v>
      </c>
      <c r="J12" s="39">
        <f>86.32+91.13+73.4+72.72</f>
        <v>323.57</v>
      </c>
      <c r="K12" s="39">
        <f>23854.8+19079.64+12980.4+13558.8</f>
        <v>69473.64</v>
      </c>
      <c r="L12" s="33">
        <f>25627.99+20480.32+13640.89+14213.01</f>
        <v>73962.209999999992</v>
      </c>
      <c r="M12" s="137"/>
      <c r="N12" s="102"/>
      <c r="O12" s="45"/>
    </row>
    <row r="13" spans="1:15" x14ac:dyDescent="0.2">
      <c r="A13" s="298"/>
      <c r="B13" s="32" t="s">
        <v>57</v>
      </c>
      <c r="C13" s="41">
        <f>21+6+6+9</f>
        <v>42</v>
      </c>
      <c r="D13" s="39">
        <f>165.86+65.15+52.58+73.34</f>
        <v>356.93000000000006</v>
      </c>
      <c r="E13" s="463">
        <f>31951.24+11348.57+9188.42+12981</f>
        <v>65469.229999999996</v>
      </c>
      <c r="F13" s="464">
        <f>33548.45+11934.85+9661.71+13640.96</f>
        <v>68785.97</v>
      </c>
      <c r="H13" s="32" t="s">
        <v>57</v>
      </c>
      <c r="I13" s="293">
        <f>11+28+7+7</f>
        <v>53</v>
      </c>
      <c r="J13" s="299">
        <f>108.7+314.77+46.26+54.31</f>
        <v>524.04</v>
      </c>
      <c r="K13" s="299">
        <f>18913.2+56281.25+8109+10285.73</f>
        <v>93589.18</v>
      </c>
      <c r="L13" s="295">
        <f>19891.32+59113.84+8525.19+10231.42</f>
        <v>97761.77</v>
      </c>
      <c r="M13" s="137"/>
      <c r="N13" s="100"/>
      <c r="O13" s="45"/>
    </row>
    <row r="14" spans="1:15" x14ac:dyDescent="0.2">
      <c r="A14" s="298"/>
      <c r="B14" s="32" t="s">
        <v>58</v>
      </c>
      <c r="C14" s="41">
        <f>8+42+23+12</f>
        <v>85</v>
      </c>
      <c r="D14" s="39">
        <f>66.58+295.13+152.27+95.22</f>
        <v>609.20000000000005</v>
      </c>
      <c r="E14" s="39">
        <f>11905.8+64085.4+28192.2+17905.2</f>
        <v>122088.59999999999</v>
      </c>
      <c r="F14" s="33">
        <f>12504.86+67704.94+29562.07+18761.94</f>
        <v>128533.81</v>
      </c>
      <c r="H14" s="32" t="s">
        <v>58</v>
      </c>
      <c r="I14" s="293">
        <f>36+31</f>
        <v>67</v>
      </c>
      <c r="J14" s="299">
        <f>330.38+232.73</f>
        <v>563.11</v>
      </c>
      <c r="K14" s="299">
        <f>62973.26+47530.87</f>
        <v>110504.13</v>
      </c>
      <c r="L14" s="295">
        <f>66526.82+50053.03</f>
        <v>116579.85</v>
      </c>
      <c r="M14" s="137"/>
      <c r="N14" s="99"/>
      <c r="O14" s="12"/>
    </row>
    <row r="15" spans="1:15" x14ac:dyDescent="0.2">
      <c r="A15" s="298"/>
      <c r="B15" s="32" t="s">
        <v>59</v>
      </c>
      <c r="C15" s="290">
        <f>23+21+50+22</f>
        <v>116</v>
      </c>
      <c r="D15" s="462">
        <f>229.24+166.5+414.82+159.99</f>
        <v>970.55</v>
      </c>
      <c r="E15" s="462">
        <f>42850.8+30906.6+81166.8+29829</f>
        <v>184753.2</v>
      </c>
      <c r="F15" s="462">
        <f>44913.65+32404.95+85299.56+31268.63</f>
        <v>193886.79</v>
      </c>
      <c r="H15" s="32" t="s">
        <v>59</v>
      </c>
      <c r="I15" s="293">
        <v>0</v>
      </c>
      <c r="J15" s="299">
        <v>0</v>
      </c>
      <c r="K15" s="299">
        <v>0</v>
      </c>
      <c r="L15" s="295">
        <v>0</v>
      </c>
      <c r="M15" s="109"/>
      <c r="N15" s="102"/>
      <c r="O15" s="12"/>
    </row>
    <row r="16" spans="1:15" x14ac:dyDescent="0.2">
      <c r="A16" s="298"/>
      <c r="B16" s="32" t="s">
        <v>60</v>
      </c>
      <c r="C16" s="41">
        <f>5+33+53+8+25</f>
        <v>124</v>
      </c>
      <c r="D16" s="39">
        <f>25.16+358.22+395.54+38.59+202.15</f>
        <v>1019.6600000000001</v>
      </c>
      <c r="E16" s="39">
        <f>4891.3+67661.4+75263.4+7042.8+35693.16</f>
        <v>190552.05999999997</v>
      </c>
      <c r="F16" s="33">
        <f>5117.71+71070.41+79033.14+7390+37512.2</f>
        <v>200123.46000000002</v>
      </c>
      <c r="H16" s="32" t="s">
        <v>60</v>
      </c>
      <c r="I16" s="293">
        <f>20</f>
        <v>20</v>
      </c>
      <c r="J16" s="299">
        <f>147.3</f>
        <v>147.30000000000001</v>
      </c>
      <c r="K16" s="299">
        <v>29142.9</v>
      </c>
      <c r="L16" s="295">
        <f>28995.6</f>
        <v>28995.599999999999</v>
      </c>
      <c r="M16" s="100"/>
      <c r="N16" s="99"/>
      <c r="O16" s="12"/>
    </row>
    <row r="17" spans="1:16" x14ac:dyDescent="0.2">
      <c r="A17" s="298"/>
      <c r="B17" s="32" t="s">
        <v>61</v>
      </c>
      <c r="C17" s="41">
        <f>12+16+8+42</f>
        <v>78</v>
      </c>
      <c r="D17" s="39">
        <f>132.37+88.5+51.9+242.93</f>
        <v>515.70000000000005</v>
      </c>
      <c r="E17" s="39">
        <f>23819.4+16258.2+9766.8+43857</f>
        <v>93701.400000000009</v>
      </c>
      <c r="F17" s="39">
        <f>25010.5+17054.4+10233.84+46042.88</f>
        <v>98341.62</v>
      </c>
      <c r="H17" s="32" t="s">
        <v>61</v>
      </c>
      <c r="I17" s="293">
        <f>8+13+6</f>
        <v>27</v>
      </c>
      <c r="J17" s="299">
        <f>78.96+101.83+97.9</f>
        <v>278.69</v>
      </c>
      <c r="K17" s="299">
        <f>15210.6+17839.2+17878.2</f>
        <v>50928</v>
      </c>
      <c r="L17" s="295">
        <f>15921.05+18755.34+18759.24</f>
        <v>53435.630000000005</v>
      </c>
      <c r="M17" s="100"/>
      <c r="N17" s="99"/>
      <c r="O17" s="12"/>
    </row>
    <row r="18" spans="1:16" x14ac:dyDescent="0.2">
      <c r="A18" s="298"/>
      <c r="B18" s="27" t="s">
        <v>81</v>
      </c>
      <c r="C18" s="41">
        <f>17+46+23+18</f>
        <v>104</v>
      </c>
      <c r="D18" s="39">
        <f>124.4+371.58+166.43+113.99</f>
        <v>776.40000000000009</v>
      </c>
      <c r="E18" s="39">
        <f>22756.2+66570.6+34082.8+20574.52</f>
        <v>143984.12</v>
      </c>
      <c r="F18" s="33">
        <f>23875.62+69914.19+35833.6+21600.33</f>
        <v>151223.74</v>
      </c>
      <c r="G18" s="110"/>
      <c r="H18" s="111" t="s">
        <v>81</v>
      </c>
      <c r="I18" s="293">
        <f>1+1+3</f>
        <v>5</v>
      </c>
      <c r="J18" s="299">
        <f>5.69+14.25+32.78</f>
        <v>52.72</v>
      </c>
      <c r="K18" s="299">
        <f>1086+2143.2+5958</f>
        <v>9187.2000000000007</v>
      </c>
      <c r="L18" s="295">
        <f>1137.17+2271.46+6252.94</f>
        <v>9661.57</v>
      </c>
      <c r="M18" s="45"/>
      <c r="N18" s="99"/>
      <c r="O18" s="45"/>
    </row>
    <row r="19" spans="1:16" x14ac:dyDescent="0.2">
      <c r="A19" s="298"/>
      <c r="B19" s="97" t="s">
        <v>63</v>
      </c>
      <c r="C19" s="41">
        <v>0</v>
      </c>
      <c r="D19" s="39">
        <v>0</v>
      </c>
      <c r="E19" s="39">
        <v>0</v>
      </c>
      <c r="F19" s="33">
        <v>0</v>
      </c>
      <c r="H19" s="98" t="s">
        <v>63</v>
      </c>
      <c r="I19" s="293">
        <f>14+25</f>
        <v>39</v>
      </c>
      <c r="J19" s="299">
        <f>186.14+226.78</f>
        <v>412.91999999999996</v>
      </c>
      <c r="K19" s="299">
        <f>33383.5+41574</f>
        <v>74957.5</v>
      </c>
      <c r="L19" s="295">
        <f>36956.72+43773.28</f>
        <v>80730</v>
      </c>
      <c r="M19" s="45"/>
      <c r="N19" s="12"/>
      <c r="O19" s="12"/>
    </row>
    <row r="20" spans="1:16" x14ac:dyDescent="0.2">
      <c r="A20" s="298"/>
      <c r="B20" s="97" t="s">
        <v>76</v>
      </c>
      <c r="C20" s="41">
        <v>0</v>
      </c>
      <c r="D20" s="39">
        <v>0</v>
      </c>
      <c r="E20" s="39">
        <v>0</v>
      </c>
      <c r="F20" s="33">
        <v>0</v>
      </c>
      <c r="H20" s="32" t="s">
        <v>76</v>
      </c>
      <c r="I20" s="293">
        <f>66+34+36+10</f>
        <v>146</v>
      </c>
      <c r="J20" s="299">
        <f>838.98+(-281.19+14.39)+258.5+319.94+49.91</f>
        <v>1200.5300000000002</v>
      </c>
      <c r="K20" s="299">
        <f>109674.94+51127.8+57372.7+9215.4</f>
        <v>227390.84</v>
      </c>
      <c r="L20" s="295">
        <f>119161.12+(-2575.95+2842.75)+54027.27+60251.56+9664.4</f>
        <v>243371.15</v>
      </c>
      <c r="M20" s="112"/>
      <c r="N20" s="103"/>
      <c r="O20" s="100"/>
      <c r="P20" s="12"/>
    </row>
    <row r="21" spans="1:16" x14ac:dyDescent="0.2">
      <c r="A21" s="298"/>
      <c r="B21" s="32" t="s">
        <v>64</v>
      </c>
      <c r="C21" s="41">
        <v>0</v>
      </c>
      <c r="D21" s="39">
        <v>0</v>
      </c>
      <c r="E21" s="39">
        <v>0</v>
      </c>
      <c r="F21" s="33">
        <v>0</v>
      </c>
      <c r="H21" s="32" t="s">
        <v>64</v>
      </c>
      <c r="I21" s="293">
        <f>32+30+32+22</f>
        <v>116</v>
      </c>
      <c r="J21" s="299">
        <f>276.75+230.36+316.91+200.61</f>
        <v>1024.6300000000001</v>
      </c>
      <c r="K21" s="299">
        <f>56883.06+42268.3+62006.4+35708.4</f>
        <v>196866.16</v>
      </c>
      <c r="L21" s="295">
        <f>60294.72+44341.12+65397.4+37513.72</f>
        <v>207546.96</v>
      </c>
      <c r="M21" s="100"/>
      <c r="N21" s="45"/>
      <c r="O21" s="12"/>
    </row>
    <row r="22" spans="1:16" x14ac:dyDescent="0.2">
      <c r="A22" s="298"/>
      <c r="B22" s="32" t="s">
        <v>66</v>
      </c>
      <c r="C22" s="41">
        <v>0</v>
      </c>
      <c r="D22" s="39">
        <v>0</v>
      </c>
      <c r="E22" s="39">
        <v>0</v>
      </c>
      <c r="F22" s="33">
        <v>0</v>
      </c>
      <c r="H22" s="32" t="s">
        <v>66</v>
      </c>
      <c r="I22" s="293">
        <f>15+41+12+1+7</f>
        <v>76</v>
      </c>
      <c r="J22" s="299">
        <f>128.02+439.98+98.66+6.11+35.59</f>
        <v>708.36</v>
      </c>
      <c r="K22" s="299">
        <f>22720.2+89555.28+17299.32+1081.8+7072.8</f>
        <v>137729.4</v>
      </c>
      <c r="L22" s="295">
        <f>23872.02+95560.07+18187.08+1136.75+7393</f>
        <v>146148.92000000001</v>
      </c>
      <c r="M22" s="113"/>
      <c r="N22" s="114"/>
      <c r="O22" s="12"/>
      <c r="P22" s="2"/>
    </row>
    <row r="23" spans="1:16" x14ac:dyDescent="0.2">
      <c r="A23" s="298"/>
      <c r="B23" s="32" t="s">
        <v>67</v>
      </c>
      <c r="C23" s="41">
        <v>0</v>
      </c>
      <c r="D23" s="39">
        <v>0</v>
      </c>
      <c r="E23" s="39">
        <v>0</v>
      </c>
      <c r="F23" s="33">
        <v>0</v>
      </c>
      <c r="H23" s="32" t="s">
        <v>67</v>
      </c>
      <c r="I23" s="293">
        <f>32+12+9</f>
        <v>53</v>
      </c>
      <c r="J23" s="299">
        <f>208.13+75.19+63.36</f>
        <v>346.68</v>
      </c>
      <c r="K23" s="299">
        <f>38702.4+14105.52+10795.2</f>
        <v>63603.119999999995</v>
      </c>
      <c r="L23" s="295">
        <f>40934.78+14781.98+11365.24</f>
        <v>67082</v>
      </c>
      <c r="M23" s="100"/>
      <c r="N23" s="12"/>
      <c r="O23" s="12"/>
    </row>
    <row r="24" spans="1:16" x14ac:dyDescent="0.2">
      <c r="A24" s="298"/>
      <c r="B24" s="34" t="s">
        <v>0</v>
      </c>
      <c r="C24" s="42">
        <f>SUM(C12:C23)</f>
        <v>596</v>
      </c>
      <c r="D24" s="40">
        <f>SUM(D12:D23)</f>
        <v>4643.2800000000007</v>
      </c>
      <c r="E24" s="115">
        <f>SUM(E12:E23)</f>
        <v>890585.09</v>
      </c>
      <c r="F24" s="35">
        <f>SUM(F12:F23)</f>
        <v>937643.47000000009</v>
      </c>
      <c r="H24" s="34" t="s">
        <v>0</v>
      </c>
      <c r="I24" s="42">
        <f>SUM(I12:I23)</f>
        <v>641</v>
      </c>
      <c r="J24" s="40">
        <f>SUM(J12:J23)</f>
        <v>5582.55</v>
      </c>
      <c r="K24" s="115">
        <f>SUM(K12:K23)</f>
        <v>1063372.07</v>
      </c>
      <c r="L24" s="35">
        <f>SUM(L12:L23)</f>
        <v>1125275.6599999999</v>
      </c>
      <c r="M24" s="45"/>
      <c r="N24" s="116"/>
      <c r="O24" s="12"/>
    </row>
    <row r="25" spans="1:16" x14ac:dyDescent="0.2">
      <c r="A25" s="298"/>
      <c r="B25" s="300" t="s">
        <v>157</v>
      </c>
      <c r="C25" s="298"/>
      <c r="D25" s="298"/>
      <c r="E25" s="298"/>
      <c r="F25" s="298"/>
      <c r="I25" s="5"/>
      <c r="J25" s="2" t="s">
        <v>201</v>
      </c>
      <c r="L25" s="8"/>
      <c r="M25" s="45"/>
    </row>
    <row r="26" spans="1:16" x14ac:dyDescent="0.2">
      <c r="A26" s="298"/>
      <c r="B26" s="298"/>
      <c r="C26" s="298"/>
      <c r="D26" s="298"/>
      <c r="E26" s="298"/>
      <c r="F26" s="298"/>
      <c r="I26" s="5"/>
      <c r="N26" s="12"/>
    </row>
    <row r="27" spans="1:16" x14ac:dyDescent="0.2">
      <c r="A27" s="5"/>
      <c r="B27" s="131"/>
      <c r="C27" s="2"/>
      <c r="D27" s="2"/>
      <c r="E27" s="2"/>
      <c r="F27" s="2"/>
      <c r="G27" s="2"/>
    </row>
    <row r="28" spans="1:16" x14ac:dyDescent="0.2">
      <c r="B28" s="131"/>
    </row>
    <row r="29" spans="1:16" x14ac:dyDescent="0.2">
      <c r="B29" s="131"/>
      <c r="E29" s="15"/>
      <c r="N29" s="12"/>
    </row>
    <row r="30" spans="1:16" x14ac:dyDescent="0.2">
      <c r="B30" s="2"/>
      <c r="D30" s="4"/>
      <c r="E30" s="4"/>
    </row>
    <row r="31" spans="1:16" x14ac:dyDescent="0.2">
      <c r="B31" s="2"/>
      <c r="C31" s="18"/>
      <c r="D31" s="2"/>
      <c r="E31" s="2"/>
    </row>
    <row r="32" spans="1:16" x14ac:dyDescent="0.2">
      <c r="A32" s="2"/>
      <c r="B32" s="37"/>
      <c r="C32" s="2"/>
      <c r="D32" s="4"/>
      <c r="E32" s="4"/>
      <c r="F32" s="5"/>
      <c r="G32" s="5"/>
      <c r="H32" s="5"/>
      <c r="I32" s="5"/>
      <c r="J32" s="5" t="s">
        <v>114</v>
      </c>
      <c r="K32" s="5"/>
      <c r="L32" s="5"/>
      <c r="M32" s="5"/>
    </row>
    <row r="33" spans="1:13" x14ac:dyDescent="0.2">
      <c r="A33" s="44"/>
      <c r="B33" s="44"/>
      <c r="C33" s="44"/>
      <c r="F33" s="5"/>
      <c r="G33" s="5"/>
      <c r="H33" s="5"/>
      <c r="I33" s="5"/>
      <c r="J33" s="5" t="s">
        <v>65</v>
      </c>
      <c r="K33" s="5"/>
      <c r="L33" s="5"/>
      <c r="M33" s="5"/>
    </row>
    <row r="34" spans="1:13" x14ac:dyDescent="0.2">
      <c r="B34" s="5"/>
      <c r="C34" s="2"/>
      <c r="D34" s="2"/>
      <c r="E34" s="2"/>
      <c r="F34" s="5"/>
      <c r="G34" s="5"/>
      <c r="H34" s="5"/>
      <c r="I34" s="5"/>
      <c r="J34" s="5" t="s">
        <v>119</v>
      </c>
      <c r="K34" s="5"/>
      <c r="L34" s="5"/>
      <c r="M34" s="5"/>
    </row>
    <row r="35" spans="1:13" x14ac:dyDescent="0.2">
      <c r="B35" s="2"/>
      <c r="C35" s="2"/>
      <c r="D35" s="2"/>
      <c r="E35" s="2"/>
      <c r="F35" s="2"/>
      <c r="G35" s="2"/>
    </row>
    <row r="36" spans="1:13" x14ac:dyDescent="0.2">
      <c r="F36" s="2"/>
      <c r="G36" s="2"/>
    </row>
    <row r="37" spans="1:13" x14ac:dyDescent="0.2">
      <c r="F37" s="2"/>
      <c r="G37" s="2"/>
    </row>
    <row r="38" spans="1:13" x14ac:dyDescent="0.2">
      <c r="F38" s="2"/>
      <c r="G38" s="2"/>
    </row>
    <row r="39" spans="1:13" x14ac:dyDescent="0.2">
      <c r="B39" s="2"/>
      <c r="C39" s="2"/>
      <c r="D39" s="2"/>
      <c r="E39" s="2"/>
      <c r="F39" s="2"/>
      <c r="G39" s="2"/>
    </row>
    <row r="40" spans="1:13" x14ac:dyDescent="0.2">
      <c r="B40" s="2"/>
      <c r="C40" s="2"/>
      <c r="D40" s="2"/>
      <c r="E40" s="2"/>
      <c r="F40" s="2"/>
      <c r="G40" s="2"/>
    </row>
    <row r="41" spans="1:13" x14ac:dyDescent="0.2">
      <c r="B41" s="2"/>
      <c r="C41" s="2"/>
      <c r="D41" s="2"/>
      <c r="E41" s="2"/>
      <c r="F41" s="2"/>
      <c r="G41" s="2"/>
    </row>
    <row r="42" spans="1:13" x14ac:dyDescent="0.2">
      <c r="B42" s="2"/>
      <c r="C42" s="2"/>
      <c r="D42" s="2"/>
      <c r="E42" s="2"/>
      <c r="F42" s="2"/>
      <c r="G42" s="2"/>
    </row>
  </sheetData>
  <mergeCells count="6">
    <mergeCell ref="B8:F8"/>
    <mergeCell ref="H8:L8"/>
    <mergeCell ref="B9:F9"/>
    <mergeCell ref="H9:L9"/>
    <mergeCell ref="C10:F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7" zoomScale="115" zoomScaleNormal="115" workbookViewId="0">
      <selection activeCell="D10" sqref="D10:E24"/>
    </sheetView>
  </sheetViews>
  <sheetFormatPr baseColWidth="10" defaultRowHeight="11.25" x14ac:dyDescent="0.2"/>
  <cols>
    <col min="1" max="1" width="2.5703125" style="5" customWidth="1"/>
    <col min="2" max="2" width="12.85546875" style="5" customWidth="1"/>
    <col min="3" max="3" width="5.85546875" style="5" customWidth="1"/>
    <col min="4" max="4" width="6.42578125" style="5" bestFit="1" customWidth="1"/>
    <col min="5" max="5" width="5.85546875" style="5" customWidth="1"/>
    <col min="6" max="6" width="1.7109375" style="5" customWidth="1"/>
    <col min="7" max="7" width="11.140625" style="5" customWidth="1"/>
    <col min="8" max="8" width="4.85546875" style="5" customWidth="1"/>
    <col min="9" max="9" width="1.5703125" style="5" customWidth="1"/>
    <col min="10" max="10" width="27.140625" style="5" customWidth="1"/>
    <col min="11" max="11" width="3.42578125" style="5" customWidth="1"/>
    <col min="12" max="12" width="2.85546875" style="5" customWidth="1"/>
    <col min="13" max="13" width="10.85546875" style="5" customWidth="1"/>
    <col min="14" max="14" width="4.7109375" style="5" customWidth="1"/>
    <col min="15" max="15" width="11.42578125" style="5" customWidth="1"/>
    <col min="16" max="16" width="3.7109375" style="5" customWidth="1"/>
    <col min="17" max="16384" width="11.42578125" style="5"/>
  </cols>
  <sheetData>
    <row r="1" spans="1:18" ht="12.75" x14ac:dyDescent="0.2">
      <c r="O1" s="8" t="s">
        <v>193</v>
      </c>
    </row>
    <row r="3" spans="1:18" x14ac:dyDescent="0.2">
      <c r="B3" s="527" t="s">
        <v>192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</row>
    <row r="4" spans="1:18" x14ac:dyDescent="0.2">
      <c r="A4" s="192"/>
      <c r="B4" s="528" t="s">
        <v>553</v>
      </c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</row>
    <row r="5" spans="1:18" x14ac:dyDescent="0.2"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</row>
    <row r="6" spans="1:18" ht="11.25" customHeight="1" x14ac:dyDescent="0.2">
      <c r="B6" s="521" t="s">
        <v>552</v>
      </c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287">
        <f>C25</f>
        <v>36</v>
      </c>
      <c r="N6" s="191"/>
      <c r="O6" s="191"/>
      <c r="P6" s="191"/>
    </row>
    <row r="7" spans="1:18" ht="12" thickBot="1" x14ac:dyDescent="0.25"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</row>
    <row r="8" spans="1:18" ht="12.75" thickBot="1" x14ac:dyDescent="0.25">
      <c r="B8" s="529" t="s">
        <v>19</v>
      </c>
      <c r="C8" s="530"/>
      <c r="D8" s="529" t="s">
        <v>169</v>
      </c>
      <c r="E8" s="543"/>
      <c r="F8" s="528"/>
      <c r="G8" s="531" t="s">
        <v>21</v>
      </c>
      <c r="H8" s="532"/>
      <c r="I8" s="524">
        <f>SUM(I10:I32)</f>
        <v>0</v>
      </c>
      <c r="J8" s="531" t="s">
        <v>20</v>
      </c>
      <c r="K8" s="532"/>
      <c r="L8" s="535"/>
      <c r="M8" s="531" t="s">
        <v>22</v>
      </c>
      <c r="N8" s="551"/>
      <c r="O8" s="551"/>
      <c r="P8" s="532"/>
    </row>
    <row r="9" spans="1:18" ht="12.75" thickBot="1" x14ac:dyDescent="0.25">
      <c r="B9" s="540" t="s">
        <v>23</v>
      </c>
      <c r="C9" s="541"/>
      <c r="D9" s="233" t="s">
        <v>170</v>
      </c>
      <c r="E9" s="232" t="s">
        <v>171</v>
      </c>
      <c r="F9" s="528"/>
      <c r="G9" s="525" t="s">
        <v>26</v>
      </c>
      <c r="H9" s="526"/>
      <c r="I9" s="524"/>
      <c r="J9" s="525" t="s">
        <v>25</v>
      </c>
      <c r="K9" s="526"/>
      <c r="L9" s="535"/>
      <c r="M9" s="522" t="s">
        <v>27</v>
      </c>
      <c r="N9" s="523"/>
      <c r="O9" s="533" t="s">
        <v>29</v>
      </c>
      <c r="P9" s="534"/>
    </row>
    <row r="10" spans="1:18" ht="24.75" x14ac:dyDescent="0.2">
      <c r="B10" s="220" t="s">
        <v>31</v>
      </c>
      <c r="C10" s="234">
        <f>D10+E10</f>
        <v>2</v>
      </c>
      <c r="D10" s="235">
        <v>1</v>
      </c>
      <c r="E10" s="236">
        <v>1</v>
      </c>
      <c r="F10" s="528"/>
      <c r="G10" s="229" t="s">
        <v>181</v>
      </c>
      <c r="H10" s="242">
        <v>0</v>
      </c>
      <c r="I10" s="524"/>
      <c r="J10" s="195" t="s">
        <v>160</v>
      </c>
      <c r="K10" s="236">
        <v>1</v>
      </c>
      <c r="L10" s="535"/>
      <c r="M10" s="211">
        <v>1142.8599999999999</v>
      </c>
      <c r="N10" s="252">
        <v>0</v>
      </c>
      <c r="O10" s="212">
        <v>571.42999999999995</v>
      </c>
      <c r="P10" s="255">
        <v>0</v>
      </c>
      <c r="Q10" s="117"/>
    </row>
    <row r="11" spans="1:18" ht="16.5" x14ac:dyDescent="0.2">
      <c r="B11" s="218" t="s">
        <v>33</v>
      </c>
      <c r="C11" s="234">
        <f t="shared" ref="C11:C24" si="0">D11+E11</f>
        <v>2</v>
      </c>
      <c r="D11" s="235">
        <v>2</v>
      </c>
      <c r="E11" s="236">
        <v>0</v>
      </c>
      <c r="F11" s="528"/>
      <c r="G11" s="213" t="s">
        <v>182</v>
      </c>
      <c r="H11" s="243">
        <v>6</v>
      </c>
      <c r="I11" s="524"/>
      <c r="J11" s="195" t="s">
        <v>174</v>
      </c>
      <c r="K11" s="236">
        <v>1</v>
      </c>
      <c r="L11" s="535"/>
      <c r="M11" s="202">
        <v>2285.71</v>
      </c>
      <c r="N11" s="253">
        <v>5</v>
      </c>
      <c r="O11" s="125">
        <v>1142.8599999999999</v>
      </c>
      <c r="P11" s="256">
        <v>1</v>
      </c>
      <c r="Q11" s="117"/>
    </row>
    <row r="12" spans="1:18" x14ac:dyDescent="0.2">
      <c r="B12" s="218" t="s">
        <v>36</v>
      </c>
      <c r="C12" s="234">
        <f t="shared" si="0"/>
        <v>1</v>
      </c>
      <c r="D12" s="237">
        <v>1</v>
      </c>
      <c r="E12" s="238">
        <v>0</v>
      </c>
      <c r="F12" s="528"/>
      <c r="G12" s="213" t="s">
        <v>35</v>
      </c>
      <c r="H12" s="243">
        <v>5</v>
      </c>
      <c r="I12" s="524"/>
      <c r="J12" s="195" t="s">
        <v>115</v>
      </c>
      <c r="K12" s="236">
        <v>1</v>
      </c>
      <c r="L12" s="535"/>
      <c r="M12" s="202">
        <v>3428.57</v>
      </c>
      <c r="N12" s="253">
        <v>18</v>
      </c>
      <c r="O12" s="125">
        <v>1714.29</v>
      </c>
      <c r="P12" s="256">
        <v>0</v>
      </c>
      <c r="Q12" s="117"/>
      <c r="R12" s="249"/>
    </row>
    <row r="13" spans="1:18" x14ac:dyDescent="0.2">
      <c r="B13" s="218" t="s">
        <v>39</v>
      </c>
      <c r="C13" s="234">
        <f t="shared" si="0"/>
        <v>0</v>
      </c>
      <c r="D13" s="237">
        <v>0</v>
      </c>
      <c r="E13" s="238">
        <v>0</v>
      </c>
      <c r="F13" s="528"/>
      <c r="G13" s="213" t="s">
        <v>38</v>
      </c>
      <c r="H13" s="243">
        <v>5</v>
      </c>
      <c r="I13" s="524"/>
      <c r="J13" s="195" t="s">
        <v>116</v>
      </c>
      <c r="K13" s="236">
        <v>0</v>
      </c>
      <c r="L13" s="535"/>
      <c r="M13" s="202">
        <v>4571.43</v>
      </c>
      <c r="N13" s="253">
        <v>0</v>
      </c>
      <c r="O13" s="203">
        <v>2285.71</v>
      </c>
      <c r="P13" s="256">
        <v>0</v>
      </c>
    </row>
    <row r="14" spans="1:18" x14ac:dyDescent="0.2">
      <c r="B14" s="218" t="s">
        <v>41</v>
      </c>
      <c r="C14" s="234">
        <f t="shared" si="0"/>
        <v>2</v>
      </c>
      <c r="D14" s="235">
        <v>1</v>
      </c>
      <c r="E14" s="239">
        <v>1</v>
      </c>
      <c r="F14" s="528"/>
      <c r="G14" s="213" t="s">
        <v>178</v>
      </c>
      <c r="H14" s="243">
        <v>10</v>
      </c>
      <c r="I14" s="524"/>
      <c r="J14" s="195" t="s">
        <v>183</v>
      </c>
      <c r="K14" s="236">
        <v>0</v>
      </c>
      <c r="L14" s="535"/>
      <c r="M14" s="202">
        <v>5714.29</v>
      </c>
      <c r="N14" s="253">
        <v>0</v>
      </c>
      <c r="O14" s="125">
        <v>2857.14</v>
      </c>
      <c r="P14" s="256">
        <v>0</v>
      </c>
    </row>
    <row r="15" spans="1:18" x14ac:dyDescent="0.2">
      <c r="B15" s="219" t="s">
        <v>43</v>
      </c>
      <c r="C15" s="234">
        <f t="shared" si="0"/>
        <v>17</v>
      </c>
      <c r="D15" s="235">
        <v>9</v>
      </c>
      <c r="E15" s="236">
        <v>8</v>
      </c>
      <c r="F15" s="528"/>
      <c r="G15" s="230" t="s">
        <v>179</v>
      </c>
      <c r="H15" s="243">
        <v>9</v>
      </c>
      <c r="I15" s="524"/>
      <c r="J15" s="195" t="s">
        <v>117</v>
      </c>
      <c r="K15" s="236">
        <v>2</v>
      </c>
      <c r="L15" s="535"/>
      <c r="M15" s="202">
        <v>6857.14</v>
      </c>
      <c r="N15" s="253">
        <v>0</v>
      </c>
      <c r="O15" s="125">
        <v>3428.57</v>
      </c>
      <c r="P15" s="256">
        <v>0</v>
      </c>
    </row>
    <row r="16" spans="1:18" x14ac:dyDescent="0.2">
      <c r="B16" s="219" t="s">
        <v>45</v>
      </c>
      <c r="C16" s="234">
        <f t="shared" si="0"/>
        <v>0</v>
      </c>
      <c r="D16" s="237">
        <v>0</v>
      </c>
      <c r="E16" s="236">
        <v>0</v>
      </c>
      <c r="F16" s="528"/>
      <c r="G16" s="230" t="s">
        <v>180</v>
      </c>
      <c r="H16" s="240">
        <v>1</v>
      </c>
      <c r="I16" s="524"/>
      <c r="J16" s="195" t="s">
        <v>47</v>
      </c>
      <c r="K16" s="236">
        <v>0</v>
      </c>
      <c r="L16" s="535"/>
      <c r="M16" s="202">
        <v>8000</v>
      </c>
      <c r="N16" s="253">
        <v>0</v>
      </c>
      <c r="O16" s="125">
        <v>4571.43</v>
      </c>
      <c r="P16" s="256">
        <v>0</v>
      </c>
    </row>
    <row r="17" spans="2:18" ht="12" thickBot="1" x14ac:dyDescent="0.25">
      <c r="B17" s="218" t="s">
        <v>46</v>
      </c>
      <c r="C17" s="234">
        <f t="shared" si="0"/>
        <v>2</v>
      </c>
      <c r="D17" s="237">
        <v>1</v>
      </c>
      <c r="E17" s="238">
        <v>1</v>
      </c>
      <c r="F17" s="528"/>
      <c r="G17" s="231" t="s">
        <v>147</v>
      </c>
      <c r="H17" s="241">
        <v>0</v>
      </c>
      <c r="I17" s="524"/>
      <c r="J17" s="195" t="s">
        <v>145</v>
      </c>
      <c r="K17" s="236">
        <v>1</v>
      </c>
      <c r="L17" s="535"/>
      <c r="M17" s="204">
        <v>9142.86</v>
      </c>
      <c r="N17" s="253">
        <v>0</v>
      </c>
      <c r="O17" s="125">
        <v>5714.29</v>
      </c>
      <c r="P17" s="256">
        <v>0</v>
      </c>
    </row>
    <row r="18" spans="2:18" ht="17.25" thickBot="1" x14ac:dyDescent="0.25">
      <c r="B18" s="218" t="s">
        <v>48</v>
      </c>
      <c r="C18" s="234">
        <f t="shared" si="0"/>
        <v>0</v>
      </c>
      <c r="D18" s="235">
        <v>0</v>
      </c>
      <c r="E18" s="238">
        <v>0</v>
      </c>
      <c r="F18" s="528"/>
      <c r="G18" s="228" t="s">
        <v>0</v>
      </c>
      <c r="H18" s="244">
        <f>SUM(H10:H17)</f>
        <v>36</v>
      </c>
      <c r="I18" s="524"/>
      <c r="J18" s="195" t="s">
        <v>150</v>
      </c>
      <c r="K18" s="236">
        <v>1</v>
      </c>
      <c r="L18" s="535"/>
      <c r="M18" s="205">
        <v>10285.709999999999</v>
      </c>
      <c r="N18" s="253">
        <v>0</v>
      </c>
      <c r="O18" s="125">
        <v>6857.14</v>
      </c>
      <c r="P18" s="256">
        <v>0</v>
      </c>
    </row>
    <row r="19" spans="2:18" ht="12" thickBot="1" x14ac:dyDescent="0.25">
      <c r="B19" s="218" t="s">
        <v>49</v>
      </c>
      <c r="C19" s="234">
        <f t="shared" si="0"/>
        <v>1</v>
      </c>
      <c r="D19" s="235">
        <v>1</v>
      </c>
      <c r="E19" s="236">
        <v>0</v>
      </c>
      <c r="F19" s="528"/>
      <c r="I19" s="524"/>
      <c r="J19" s="195" t="s">
        <v>144</v>
      </c>
      <c r="K19" s="236">
        <v>2</v>
      </c>
      <c r="L19" s="535"/>
      <c r="M19" s="206">
        <v>11428.57</v>
      </c>
      <c r="N19" s="253">
        <v>4</v>
      </c>
      <c r="O19" s="125">
        <v>8000</v>
      </c>
      <c r="P19" s="256">
        <v>0</v>
      </c>
    </row>
    <row r="20" spans="2:18" ht="17.25" thickBot="1" x14ac:dyDescent="0.25">
      <c r="B20" s="218" t="s">
        <v>50</v>
      </c>
      <c r="C20" s="234">
        <f t="shared" si="0"/>
        <v>1</v>
      </c>
      <c r="D20" s="237">
        <v>0</v>
      </c>
      <c r="E20" s="236">
        <v>1</v>
      </c>
      <c r="F20" s="528"/>
      <c r="G20" s="549" t="s">
        <v>24</v>
      </c>
      <c r="H20" s="550"/>
      <c r="I20" s="524"/>
      <c r="J20" s="196" t="s">
        <v>185</v>
      </c>
      <c r="K20" s="236">
        <v>1</v>
      </c>
      <c r="L20" s="535"/>
      <c r="M20" s="207">
        <v>15000</v>
      </c>
      <c r="N20" s="253">
        <v>0</v>
      </c>
      <c r="O20" s="125">
        <v>9142.86</v>
      </c>
      <c r="P20" s="256">
        <v>0</v>
      </c>
    </row>
    <row r="21" spans="2:18" x14ac:dyDescent="0.2">
      <c r="B21" s="218" t="s">
        <v>51</v>
      </c>
      <c r="C21" s="234">
        <f t="shared" si="0"/>
        <v>6</v>
      </c>
      <c r="D21" s="237">
        <v>4</v>
      </c>
      <c r="E21" s="238">
        <v>2</v>
      </c>
      <c r="F21" s="528"/>
      <c r="G21" s="217" t="s">
        <v>32</v>
      </c>
      <c r="H21" s="245">
        <v>17</v>
      </c>
      <c r="I21" s="524"/>
      <c r="J21" s="196" t="s">
        <v>168</v>
      </c>
      <c r="K21" s="236">
        <v>1</v>
      </c>
      <c r="L21" s="535"/>
      <c r="M21" s="207">
        <v>20000</v>
      </c>
      <c r="N21" s="253">
        <v>0</v>
      </c>
      <c r="O21" s="125">
        <v>10285.709999999999</v>
      </c>
      <c r="P21" s="256">
        <v>0</v>
      </c>
    </row>
    <row r="22" spans="2:18" x14ac:dyDescent="0.2">
      <c r="B22" s="218" t="s">
        <v>52</v>
      </c>
      <c r="C22" s="234">
        <f t="shared" si="0"/>
        <v>0</v>
      </c>
      <c r="D22" s="237">
        <v>0</v>
      </c>
      <c r="E22" s="238">
        <v>0</v>
      </c>
      <c r="F22" s="528"/>
      <c r="G22" s="214" t="s">
        <v>34</v>
      </c>
      <c r="H22" s="246">
        <v>0</v>
      </c>
      <c r="I22" s="524"/>
      <c r="J22" s="196" t="s">
        <v>186</v>
      </c>
      <c r="K22" s="236">
        <v>0</v>
      </c>
      <c r="L22" s="535"/>
      <c r="M22" s="207">
        <v>25000</v>
      </c>
      <c r="N22" s="253">
        <v>0</v>
      </c>
      <c r="O22" s="125">
        <v>11428.57</v>
      </c>
      <c r="P22" s="256">
        <v>0</v>
      </c>
    </row>
    <row r="23" spans="2:18" ht="12" thickBot="1" x14ac:dyDescent="0.25">
      <c r="B23" s="218" t="s">
        <v>53</v>
      </c>
      <c r="C23" s="234">
        <f t="shared" si="0"/>
        <v>1</v>
      </c>
      <c r="D23" s="237">
        <v>1</v>
      </c>
      <c r="E23" s="239">
        <v>0</v>
      </c>
      <c r="F23" s="528"/>
      <c r="G23" s="214" t="s">
        <v>37</v>
      </c>
      <c r="H23" s="246">
        <v>19</v>
      </c>
      <c r="I23" s="524"/>
      <c r="J23" s="195" t="s">
        <v>54</v>
      </c>
      <c r="K23" s="236">
        <v>0</v>
      </c>
      <c r="L23" s="535"/>
      <c r="M23" s="208">
        <v>30000</v>
      </c>
      <c r="N23" s="254">
        <v>0</v>
      </c>
      <c r="O23" s="209"/>
      <c r="P23" s="257"/>
    </row>
    <row r="24" spans="2:18" ht="17.25" thickBot="1" x14ac:dyDescent="0.25">
      <c r="B24" s="215" t="s">
        <v>140</v>
      </c>
      <c r="C24" s="234">
        <f t="shared" si="0"/>
        <v>1</v>
      </c>
      <c r="D24" s="237">
        <v>0</v>
      </c>
      <c r="E24" s="239">
        <v>1</v>
      </c>
      <c r="F24" s="528"/>
      <c r="G24" s="214" t="s">
        <v>40</v>
      </c>
      <c r="H24" s="246">
        <v>0</v>
      </c>
      <c r="I24" s="524"/>
      <c r="J24" s="195" t="s">
        <v>142</v>
      </c>
      <c r="K24" s="236">
        <v>0</v>
      </c>
      <c r="L24" s="535"/>
      <c r="M24" s="258" t="s">
        <v>0</v>
      </c>
      <c r="N24" s="259">
        <f>SUM(N10:N23)</f>
        <v>27</v>
      </c>
      <c r="O24" s="258" t="s">
        <v>0</v>
      </c>
      <c r="P24" s="260">
        <f>SUM(P10:P23)</f>
        <v>1</v>
      </c>
    </row>
    <row r="25" spans="2:18" ht="12.75" thickBot="1" x14ac:dyDescent="0.25">
      <c r="B25" s="224" t="s">
        <v>0</v>
      </c>
      <c r="C25" s="248">
        <f>SUM(C10:C24)</f>
        <v>36</v>
      </c>
      <c r="D25" s="248">
        <f>SUM(D10:D24)</f>
        <v>21</v>
      </c>
      <c r="E25" s="297">
        <f>SUM(E10:E24)</f>
        <v>15</v>
      </c>
      <c r="F25" s="528"/>
      <c r="G25" s="215" t="s">
        <v>42</v>
      </c>
      <c r="H25" s="246">
        <v>0</v>
      </c>
      <c r="I25" s="524"/>
      <c r="J25" s="195" t="s">
        <v>141</v>
      </c>
      <c r="K25" s="236">
        <v>2</v>
      </c>
      <c r="L25" s="535"/>
      <c r="M25" s="547" t="s">
        <v>30</v>
      </c>
      <c r="N25" s="548"/>
      <c r="O25" s="536" t="s">
        <v>28</v>
      </c>
      <c r="P25" s="537"/>
    </row>
    <row r="26" spans="2:18" ht="12" thickBot="1" x14ac:dyDescent="0.25">
      <c r="B26" s="133" t="s">
        <v>158</v>
      </c>
      <c r="C26" s="193"/>
      <c r="D26" s="193"/>
      <c r="E26" s="193"/>
      <c r="F26" s="528"/>
      <c r="G26" s="215" t="s">
        <v>44</v>
      </c>
      <c r="H26" s="246">
        <v>0</v>
      </c>
      <c r="I26" s="524"/>
      <c r="J26" s="195" t="s">
        <v>55</v>
      </c>
      <c r="K26" s="236">
        <v>4</v>
      </c>
      <c r="L26" s="535"/>
      <c r="M26" s="210">
        <v>3428.57</v>
      </c>
      <c r="N26" s="288">
        <f>N32+P32</f>
        <v>17</v>
      </c>
      <c r="O26" s="210">
        <v>1142.8599999999999</v>
      </c>
      <c r="P26" s="261">
        <f>N31+P31</f>
        <v>5</v>
      </c>
      <c r="R26" s="264"/>
    </row>
    <row r="27" spans="2:18" ht="12.75" thickBot="1" x14ac:dyDescent="0.25">
      <c r="B27" s="270"/>
      <c r="C27" s="193"/>
      <c r="D27" s="193"/>
      <c r="E27" s="193"/>
      <c r="F27" s="528"/>
      <c r="G27" s="216" t="s">
        <v>127</v>
      </c>
      <c r="H27" s="247">
        <v>0</v>
      </c>
      <c r="I27" s="524"/>
      <c r="J27" s="195" t="s">
        <v>132</v>
      </c>
      <c r="K27" s="236">
        <v>1</v>
      </c>
      <c r="L27" s="535"/>
      <c r="M27" s="538"/>
      <c r="N27" s="538"/>
      <c r="O27" s="538"/>
      <c r="P27" s="539"/>
    </row>
    <row r="28" spans="2:18" ht="12" thickBot="1" x14ac:dyDescent="0.25">
      <c r="B28" s="270"/>
      <c r="C28" s="193"/>
      <c r="D28" s="193"/>
      <c r="E28" s="193"/>
      <c r="F28" s="528"/>
      <c r="G28" s="226" t="s">
        <v>0</v>
      </c>
      <c r="H28" s="227">
        <f>H21+H22+H23+H24+H25+H26+H27</f>
        <v>36</v>
      </c>
      <c r="I28" s="524"/>
      <c r="J28" s="195" t="s">
        <v>151</v>
      </c>
      <c r="K28" s="236">
        <v>3</v>
      </c>
      <c r="L28" s="535"/>
      <c r="M28" s="544" t="s">
        <v>118</v>
      </c>
      <c r="N28" s="545"/>
      <c r="O28" s="545"/>
      <c r="P28" s="546"/>
    </row>
    <row r="29" spans="2:18" ht="16.5" x14ac:dyDescent="0.2">
      <c r="B29" s="270"/>
      <c r="C29" s="193"/>
      <c r="D29" s="193"/>
      <c r="E29" s="193"/>
      <c r="F29" s="528"/>
      <c r="I29" s="524"/>
      <c r="J29" s="195" t="s">
        <v>136</v>
      </c>
      <c r="K29" s="236">
        <v>2</v>
      </c>
      <c r="L29" s="535"/>
      <c r="M29" s="250" t="s">
        <v>129</v>
      </c>
      <c r="N29" s="265">
        <v>22</v>
      </c>
      <c r="O29" s="199" t="s">
        <v>173</v>
      </c>
      <c r="P29" s="263">
        <v>5</v>
      </c>
      <c r="Q29" s="264"/>
      <c r="R29" s="264"/>
    </row>
    <row r="30" spans="2:18" ht="16.5" x14ac:dyDescent="0.2">
      <c r="B30" s="270"/>
      <c r="C30" s="193"/>
      <c r="D30" s="193"/>
      <c r="E30" s="193"/>
      <c r="F30" s="528"/>
      <c r="I30" s="524"/>
      <c r="J30" s="221" t="s">
        <v>143</v>
      </c>
      <c r="K30" s="236">
        <v>0</v>
      </c>
      <c r="L30" s="535"/>
      <c r="M30" s="250" t="s">
        <v>130</v>
      </c>
      <c r="N30" s="265">
        <v>0</v>
      </c>
      <c r="O30" s="200" t="s">
        <v>175</v>
      </c>
      <c r="P30" s="197">
        <v>1</v>
      </c>
    </row>
    <row r="31" spans="2:18" ht="16.5" x14ac:dyDescent="0.2">
      <c r="B31" s="270"/>
      <c r="C31" s="193"/>
      <c r="D31" s="193"/>
      <c r="E31" s="193"/>
      <c r="F31" s="528"/>
      <c r="G31" s="193"/>
      <c r="H31" s="193"/>
      <c r="I31" s="524"/>
      <c r="J31" s="221" t="s">
        <v>196</v>
      </c>
      <c r="K31" s="236">
        <v>9</v>
      </c>
      <c r="L31" s="535"/>
      <c r="M31" s="250" t="s">
        <v>172</v>
      </c>
      <c r="N31" s="265">
        <v>0</v>
      </c>
      <c r="O31" s="200" t="s">
        <v>176</v>
      </c>
      <c r="P31" s="197">
        <v>5</v>
      </c>
    </row>
    <row r="32" spans="2:18" ht="17.25" thickBot="1" x14ac:dyDescent="0.25">
      <c r="B32" s="270"/>
      <c r="C32" s="193"/>
      <c r="D32" s="193"/>
      <c r="E32" s="193"/>
      <c r="F32" s="528"/>
      <c r="G32" s="193"/>
      <c r="H32" s="193"/>
      <c r="I32" s="524"/>
      <c r="J32" s="221" t="s">
        <v>184</v>
      </c>
      <c r="K32" s="236">
        <v>4</v>
      </c>
      <c r="L32" s="535"/>
      <c r="M32" s="251" t="s">
        <v>128</v>
      </c>
      <c r="N32" s="266">
        <v>8</v>
      </c>
      <c r="O32" s="201" t="s">
        <v>177</v>
      </c>
      <c r="P32" s="198">
        <v>9</v>
      </c>
    </row>
    <row r="33" spans="2:18" ht="12.75" thickBot="1" x14ac:dyDescent="0.25">
      <c r="F33" s="528"/>
      <c r="G33" s="194"/>
      <c r="H33" s="194"/>
      <c r="I33" s="524"/>
      <c r="J33" s="222" t="s">
        <v>0</v>
      </c>
      <c r="K33" s="225">
        <f>SUM(K10:K32)</f>
        <v>36</v>
      </c>
      <c r="L33" s="535"/>
      <c r="M33" s="223" t="s">
        <v>0</v>
      </c>
      <c r="N33" s="223">
        <f>N29+N30+N31+N32</f>
        <v>30</v>
      </c>
      <c r="O33" s="224" t="s">
        <v>0</v>
      </c>
      <c r="P33" s="262">
        <f>P29+P30+P31+P32</f>
        <v>20</v>
      </c>
      <c r="R33" s="264"/>
    </row>
    <row r="34" spans="2:18" ht="12.75" x14ac:dyDescent="0.2">
      <c r="C34" s="132"/>
      <c r="D34" s="132"/>
      <c r="E34" s="132"/>
      <c r="F34" s="132"/>
      <c r="G34" s="132"/>
      <c r="H34" s="132"/>
      <c r="I34" s="19"/>
      <c r="J34" s="69"/>
      <c r="K34" s="19"/>
      <c r="L34" s="19"/>
      <c r="M34" s="69"/>
      <c r="N34" s="69"/>
      <c r="O34" s="269" t="s">
        <v>554</v>
      </c>
      <c r="P34" s="69"/>
    </row>
    <row r="35" spans="2:18" ht="12.75" x14ac:dyDescent="0.2">
      <c r="B35" s="121" t="s">
        <v>131</v>
      </c>
      <c r="C35" s="132"/>
      <c r="D35" s="132"/>
      <c r="E35" s="132"/>
      <c r="F35" s="132"/>
      <c r="G35" s="132"/>
      <c r="H35" s="132"/>
      <c r="I35" s="19"/>
      <c r="J35" s="69"/>
      <c r="K35" s="19"/>
      <c r="L35" s="19"/>
      <c r="M35" s="69"/>
      <c r="N35" s="69"/>
      <c r="P35" s="69"/>
    </row>
    <row r="36" spans="2:18" ht="12" x14ac:dyDescent="0.2">
      <c r="B36" s="10" t="s">
        <v>189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4"/>
    </row>
    <row r="37" spans="2:18" ht="12" x14ac:dyDescent="0.2">
      <c r="B37" s="10" t="s">
        <v>190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4"/>
    </row>
    <row r="38" spans="2:18" ht="12.75" x14ac:dyDescent="0.2">
      <c r="B38" s="10" t="s">
        <v>191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2"/>
    </row>
    <row r="41" spans="2:18" ht="12.75" x14ac:dyDescent="0.2">
      <c r="N41" s="76" t="s">
        <v>555</v>
      </c>
    </row>
    <row r="42" spans="2:18" ht="12.75" x14ac:dyDescent="0.2">
      <c r="N42" s="69" t="s">
        <v>382</v>
      </c>
    </row>
  </sheetData>
  <mergeCells count="22">
    <mergeCell ref="D8:E8"/>
    <mergeCell ref="M28:P28"/>
    <mergeCell ref="M25:N25"/>
    <mergeCell ref="G20:H20"/>
    <mergeCell ref="M8:P8"/>
    <mergeCell ref="J9:K9"/>
    <mergeCell ref="B6:L6"/>
    <mergeCell ref="M9:N9"/>
    <mergeCell ref="I8:I33"/>
    <mergeCell ref="G9:H9"/>
    <mergeCell ref="B3:P3"/>
    <mergeCell ref="B4:P4"/>
    <mergeCell ref="B8:C8"/>
    <mergeCell ref="J8:K8"/>
    <mergeCell ref="G8:H8"/>
    <mergeCell ref="O9:P9"/>
    <mergeCell ref="L8:L33"/>
    <mergeCell ref="O25:P25"/>
    <mergeCell ref="M27:P27"/>
    <mergeCell ref="F8:F33"/>
    <mergeCell ref="B9:C9"/>
    <mergeCell ref="B7:P7"/>
  </mergeCells>
  <pageMargins left="0.59055118110236227" right="0.59055118110236227" top="0.39370078740157483" bottom="0.3937007874015748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7" zoomScale="130" zoomScaleNormal="130" workbookViewId="0">
      <selection activeCell="B6" sqref="B6:L6"/>
    </sheetView>
  </sheetViews>
  <sheetFormatPr baseColWidth="10" defaultRowHeight="11.25" x14ac:dyDescent="0.2"/>
  <cols>
    <col min="1" max="1" width="2.5703125" style="5" customWidth="1"/>
    <col min="2" max="2" width="12.85546875" style="5" customWidth="1"/>
    <col min="3" max="3" width="5.85546875" style="5" customWidth="1"/>
    <col min="4" max="4" width="6.42578125" style="5" bestFit="1" customWidth="1"/>
    <col min="5" max="5" width="5.85546875" style="5" customWidth="1"/>
    <col min="6" max="6" width="1.7109375" style="5" customWidth="1"/>
    <col min="7" max="7" width="11.140625" style="5" customWidth="1"/>
    <col min="8" max="8" width="4.85546875" style="5" customWidth="1"/>
    <col min="9" max="9" width="1.5703125" style="5" customWidth="1"/>
    <col min="10" max="10" width="27.140625" style="5" customWidth="1"/>
    <col min="11" max="11" width="3.42578125" style="5" customWidth="1"/>
    <col min="12" max="12" width="2.85546875" style="5" customWidth="1"/>
    <col min="13" max="13" width="10.85546875" style="5" customWidth="1"/>
    <col min="14" max="14" width="4.7109375" style="5" customWidth="1"/>
    <col min="15" max="15" width="11.42578125" style="5" customWidth="1"/>
    <col min="16" max="16" width="3.7109375" style="5" customWidth="1"/>
    <col min="17" max="16384" width="11.42578125" style="5"/>
  </cols>
  <sheetData>
    <row r="1" spans="1:18" ht="12.75" x14ac:dyDescent="0.2">
      <c r="O1" s="8" t="s">
        <v>193</v>
      </c>
    </row>
    <row r="3" spans="1:18" x14ac:dyDescent="0.2">
      <c r="B3" s="527" t="s">
        <v>192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</row>
    <row r="4" spans="1:18" x14ac:dyDescent="0.2">
      <c r="A4" s="192"/>
      <c r="B4" s="528" t="s">
        <v>551</v>
      </c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</row>
    <row r="5" spans="1:18" x14ac:dyDescent="0.2"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</row>
    <row r="6" spans="1:18" ht="11.25" customHeight="1" x14ac:dyDescent="0.2">
      <c r="B6" s="521" t="s">
        <v>552</v>
      </c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287">
        <f>C25</f>
        <v>37</v>
      </c>
      <c r="N6" s="191"/>
      <c r="O6" s="191"/>
      <c r="P6" s="191"/>
    </row>
    <row r="7" spans="1:18" ht="12" thickBot="1" x14ac:dyDescent="0.25"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</row>
    <row r="8" spans="1:18" ht="12.75" thickBot="1" x14ac:dyDescent="0.25">
      <c r="B8" s="529" t="s">
        <v>19</v>
      </c>
      <c r="C8" s="530"/>
      <c r="D8" s="529" t="s">
        <v>169</v>
      </c>
      <c r="E8" s="543"/>
      <c r="F8" s="528"/>
      <c r="G8" s="531" t="s">
        <v>21</v>
      </c>
      <c r="H8" s="532"/>
      <c r="I8" s="524">
        <f>SUM(I10:I32)</f>
        <v>0</v>
      </c>
      <c r="J8" s="531" t="s">
        <v>20</v>
      </c>
      <c r="K8" s="532"/>
      <c r="L8" s="535"/>
      <c r="M8" s="531" t="s">
        <v>22</v>
      </c>
      <c r="N8" s="551"/>
      <c r="O8" s="551"/>
      <c r="P8" s="532"/>
    </row>
    <row r="9" spans="1:18" ht="12.75" thickBot="1" x14ac:dyDescent="0.25">
      <c r="B9" s="540" t="s">
        <v>23</v>
      </c>
      <c r="C9" s="541"/>
      <c r="D9" s="233" t="s">
        <v>170</v>
      </c>
      <c r="E9" s="232" t="s">
        <v>171</v>
      </c>
      <c r="F9" s="528"/>
      <c r="G9" s="525" t="s">
        <v>26</v>
      </c>
      <c r="H9" s="526"/>
      <c r="I9" s="524"/>
      <c r="J9" s="525" t="s">
        <v>25</v>
      </c>
      <c r="K9" s="526"/>
      <c r="L9" s="535"/>
      <c r="M9" s="522" t="s">
        <v>27</v>
      </c>
      <c r="N9" s="523"/>
      <c r="O9" s="533" t="s">
        <v>29</v>
      </c>
      <c r="P9" s="534"/>
    </row>
    <row r="10" spans="1:18" ht="24.75" x14ac:dyDescent="0.2">
      <c r="B10" s="220" t="s">
        <v>31</v>
      </c>
      <c r="C10" s="234">
        <f>D10+E10</f>
        <v>1</v>
      </c>
      <c r="D10" s="235">
        <v>1</v>
      </c>
      <c r="E10" s="236">
        <v>0</v>
      </c>
      <c r="F10" s="528"/>
      <c r="G10" s="229" t="s">
        <v>181</v>
      </c>
      <c r="H10" s="242">
        <v>1</v>
      </c>
      <c r="I10" s="524"/>
      <c r="J10" s="195" t="s">
        <v>160</v>
      </c>
      <c r="K10" s="236">
        <v>0</v>
      </c>
      <c r="L10" s="535"/>
      <c r="M10" s="211">
        <v>1142.8599999999999</v>
      </c>
      <c r="N10" s="252">
        <v>4</v>
      </c>
      <c r="O10" s="212">
        <v>571.42999999999995</v>
      </c>
      <c r="P10" s="255">
        <v>0</v>
      </c>
      <c r="Q10" s="117"/>
    </row>
    <row r="11" spans="1:18" ht="16.5" x14ac:dyDescent="0.2">
      <c r="B11" s="218" t="s">
        <v>33</v>
      </c>
      <c r="C11" s="234">
        <v>6</v>
      </c>
      <c r="D11" s="235">
        <v>2</v>
      </c>
      <c r="E11" s="236">
        <v>4</v>
      </c>
      <c r="F11" s="528"/>
      <c r="G11" s="213" t="s">
        <v>182</v>
      </c>
      <c r="H11" s="243">
        <v>1</v>
      </c>
      <c r="I11" s="524"/>
      <c r="J11" s="195" t="s">
        <v>174</v>
      </c>
      <c r="K11" s="236">
        <v>1</v>
      </c>
      <c r="L11" s="535"/>
      <c r="M11" s="202">
        <v>2285.71</v>
      </c>
      <c r="N11" s="253">
        <v>7</v>
      </c>
      <c r="O11" s="125">
        <v>1142.8599999999999</v>
      </c>
      <c r="P11" s="256">
        <v>1</v>
      </c>
      <c r="Q11" s="117"/>
    </row>
    <row r="12" spans="1:18" x14ac:dyDescent="0.2">
      <c r="B12" s="218" t="s">
        <v>36</v>
      </c>
      <c r="C12" s="234">
        <v>0</v>
      </c>
      <c r="D12" s="237">
        <v>0</v>
      </c>
      <c r="E12" s="238">
        <v>0</v>
      </c>
      <c r="F12" s="528"/>
      <c r="G12" s="213" t="s">
        <v>35</v>
      </c>
      <c r="H12" s="243">
        <v>9</v>
      </c>
      <c r="I12" s="524"/>
      <c r="J12" s="195" t="s">
        <v>115</v>
      </c>
      <c r="K12" s="236">
        <v>0</v>
      </c>
      <c r="L12" s="535"/>
      <c r="M12" s="202">
        <v>3428.57</v>
      </c>
      <c r="N12" s="253">
        <v>12</v>
      </c>
      <c r="O12" s="125">
        <v>1714.29</v>
      </c>
      <c r="P12" s="256">
        <v>0</v>
      </c>
      <c r="Q12" s="117"/>
      <c r="R12" s="249"/>
    </row>
    <row r="13" spans="1:18" x14ac:dyDescent="0.2">
      <c r="B13" s="218" t="s">
        <v>39</v>
      </c>
      <c r="C13" s="234">
        <v>2</v>
      </c>
      <c r="D13" s="237">
        <v>0</v>
      </c>
      <c r="E13" s="238">
        <v>2</v>
      </c>
      <c r="F13" s="528"/>
      <c r="G13" s="213" t="s">
        <v>38</v>
      </c>
      <c r="H13" s="243">
        <v>5</v>
      </c>
      <c r="I13" s="524"/>
      <c r="J13" s="195" t="s">
        <v>116</v>
      </c>
      <c r="K13" s="236">
        <v>0</v>
      </c>
      <c r="L13" s="535"/>
      <c r="M13" s="202">
        <v>4571.43</v>
      </c>
      <c r="N13" s="253">
        <v>0</v>
      </c>
      <c r="O13" s="203">
        <v>2285.71</v>
      </c>
      <c r="P13" s="256">
        <v>0</v>
      </c>
    </row>
    <row r="14" spans="1:18" x14ac:dyDescent="0.2">
      <c r="B14" s="218" t="s">
        <v>41</v>
      </c>
      <c r="C14" s="234">
        <v>3</v>
      </c>
      <c r="D14" s="235">
        <v>2</v>
      </c>
      <c r="E14" s="239">
        <v>1</v>
      </c>
      <c r="F14" s="528"/>
      <c r="G14" s="213" t="s">
        <v>178</v>
      </c>
      <c r="H14" s="243">
        <v>8</v>
      </c>
      <c r="I14" s="524"/>
      <c r="J14" s="195" t="s">
        <v>183</v>
      </c>
      <c r="K14" s="236">
        <v>0</v>
      </c>
      <c r="L14" s="535"/>
      <c r="M14" s="202">
        <v>5714.29</v>
      </c>
      <c r="N14" s="253">
        <v>0</v>
      </c>
      <c r="O14" s="125">
        <v>2857.14</v>
      </c>
      <c r="P14" s="256">
        <v>0</v>
      </c>
    </row>
    <row r="15" spans="1:18" x14ac:dyDescent="0.2">
      <c r="B15" s="219" t="s">
        <v>43</v>
      </c>
      <c r="C15" s="234">
        <v>18</v>
      </c>
      <c r="D15" s="235">
        <v>9</v>
      </c>
      <c r="E15" s="236">
        <v>9</v>
      </c>
      <c r="F15" s="528"/>
      <c r="G15" s="230" t="s">
        <v>179</v>
      </c>
      <c r="H15" s="243">
        <v>7</v>
      </c>
      <c r="I15" s="524"/>
      <c r="J15" s="195" t="s">
        <v>117</v>
      </c>
      <c r="K15" s="236">
        <v>1</v>
      </c>
      <c r="L15" s="535"/>
      <c r="M15" s="202">
        <v>6857.14</v>
      </c>
      <c r="N15" s="253">
        <v>1</v>
      </c>
      <c r="O15" s="125">
        <v>3428.57</v>
      </c>
      <c r="P15" s="256">
        <v>0</v>
      </c>
    </row>
    <row r="16" spans="1:18" x14ac:dyDescent="0.2">
      <c r="B16" s="219" t="s">
        <v>45</v>
      </c>
      <c r="C16" s="234">
        <f t="shared" ref="C16:C24" si="0">D16+E16</f>
        <v>0</v>
      </c>
      <c r="D16" s="237">
        <v>0</v>
      </c>
      <c r="E16" s="236">
        <v>0</v>
      </c>
      <c r="F16" s="528"/>
      <c r="G16" s="230" t="s">
        <v>180</v>
      </c>
      <c r="H16" s="240">
        <v>5</v>
      </c>
      <c r="I16" s="524"/>
      <c r="J16" s="195" t="s">
        <v>47</v>
      </c>
      <c r="K16" s="236">
        <v>0</v>
      </c>
      <c r="L16" s="535"/>
      <c r="M16" s="202">
        <v>8000</v>
      </c>
      <c r="N16" s="253">
        <v>1</v>
      </c>
      <c r="O16" s="125">
        <v>4571.43</v>
      </c>
      <c r="P16" s="256">
        <v>0</v>
      </c>
    </row>
    <row r="17" spans="2:18" ht="12" thickBot="1" x14ac:dyDescent="0.25">
      <c r="B17" s="218" t="s">
        <v>46</v>
      </c>
      <c r="C17" s="234">
        <f t="shared" si="0"/>
        <v>2</v>
      </c>
      <c r="D17" s="237">
        <v>2</v>
      </c>
      <c r="E17" s="238">
        <v>0</v>
      </c>
      <c r="F17" s="528"/>
      <c r="G17" s="231" t="s">
        <v>147</v>
      </c>
      <c r="H17" s="241">
        <v>1</v>
      </c>
      <c r="I17" s="524"/>
      <c r="J17" s="195" t="s">
        <v>145</v>
      </c>
      <c r="K17" s="236">
        <v>1</v>
      </c>
      <c r="L17" s="535"/>
      <c r="M17" s="204">
        <v>9142.86</v>
      </c>
      <c r="N17" s="253">
        <v>0</v>
      </c>
      <c r="O17" s="125">
        <v>5714.29</v>
      </c>
      <c r="P17" s="256">
        <v>0</v>
      </c>
    </row>
    <row r="18" spans="2:18" ht="17.25" thickBot="1" x14ac:dyDescent="0.25">
      <c r="B18" s="218" t="s">
        <v>48</v>
      </c>
      <c r="C18" s="234">
        <f t="shared" si="0"/>
        <v>0</v>
      </c>
      <c r="D18" s="235">
        <v>0</v>
      </c>
      <c r="E18" s="238">
        <v>0</v>
      </c>
      <c r="F18" s="528"/>
      <c r="G18" s="228" t="s">
        <v>0</v>
      </c>
      <c r="H18" s="244">
        <f>SUM(H10:H17)</f>
        <v>37</v>
      </c>
      <c r="I18" s="524"/>
      <c r="J18" s="195" t="s">
        <v>150</v>
      </c>
      <c r="K18" s="236">
        <v>0</v>
      </c>
      <c r="L18" s="535"/>
      <c r="M18" s="205">
        <v>10285.709999999999</v>
      </c>
      <c r="N18" s="253">
        <v>0</v>
      </c>
      <c r="O18" s="125">
        <v>6857.14</v>
      </c>
      <c r="P18" s="256">
        <v>0</v>
      </c>
    </row>
    <row r="19" spans="2:18" ht="12" thickBot="1" x14ac:dyDescent="0.25">
      <c r="B19" s="218" t="s">
        <v>49</v>
      </c>
      <c r="C19" s="234">
        <v>0</v>
      </c>
      <c r="D19" s="235">
        <v>0</v>
      </c>
      <c r="E19" s="236">
        <v>0</v>
      </c>
      <c r="F19" s="528"/>
      <c r="I19" s="524"/>
      <c r="J19" s="195" t="s">
        <v>144</v>
      </c>
      <c r="K19" s="236">
        <v>0</v>
      </c>
      <c r="L19" s="535"/>
      <c r="M19" s="206">
        <v>11428.57</v>
      </c>
      <c r="N19" s="253">
        <v>4</v>
      </c>
      <c r="O19" s="125">
        <v>8000</v>
      </c>
      <c r="P19" s="256">
        <v>0</v>
      </c>
    </row>
    <row r="20" spans="2:18" ht="17.25" thickBot="1" x14ac:dyDescent="0.25">
      <c r="B20" s="218" t="s">
        <v>50</v>
      </c>
      <c r="C20" s="234">
        <v>1</v>
      </c>
      <c r="D20" s="237">
        <v>0</v>
      </c>
      <c r="E20" s="236">
        <v>1</v>
      </c>
      <c r="F20" s="528"/>
      <c r="G20" s="549" t="s">
        <v>24</v>
      </c>
      <c r="H20" s="550"/>
      <c r="I20" s="524"/>
      <c r="J20" s="196" t="s">
        <v>185</v>
      </c>
      <c r="K20" s="236">
        <v>5</v>
      </c>
      <c r="L20" s="535"/>
      <c r="M20" s="207">
        <v>15000</v>
      </c>
      <c r="N20" s="253">
        <v>0</v>
      </c>
      <c r="O20" s="125">
        <v>9142.86</v>
      </c>
      <c r="P20" s="256">
        <v>0</v>
      </c>
    </row>
    <row r="21" spans="2:18" x14ac:dyDescent="0.2">
      <c r="B21" s="218" t="s">
        <v>51</v>
      </c>
      <c r="C21" s="234">
        <v>2</v>
      </c>
      <c r="D21" s="237">
        <v>2</v>
      </c>
      <c r="E21" s="238">
        <v>0</v>
      </c>
      <c r="F21" s="528"/>
      <c r="G21" s="217" t="s">
        <v>32</v>
      </c>
      <c r="H21" s="245">
        <v>16</v>
      </c>
      <c r="I21" s="524"/>
      <c r="J21" s="196" t="s">
        <v>168</v>
      </c>
      <c r="K21" s="236">
        <v>0</v>
      </c>
      <c r="L21" s="535"/>
      <c r="M21" s="207">
        <v>20000</v>
      </c>
      <c r="N21" s="253">
        <v>0</v>
      </c>
      <c r="O21" s="125">
        <v>10285.709999999999</v>
      </c>
      <c r="P21" s="256">
        <v>0</v>
      </c>
    </row>
    <row r="22" spans="2:18" x14ac:dyDescent="0.2">
      <c r="B22" s="218" t="s">
        <v>52</v>
      </c>
      <c r="C22" s="234">
        <v>1</v>
      </c>
      <c r="D22" s="237">
        <v>0</v>
      </c>
      <c r="E22" s="238">
        <v>1</v>
      </c>
      <c r="F22" s="528"/>
      <c r="G22" s="214" t="s">
        <v>34</v>
      </c>
      <c r="H22" s="246">
        <v>1</v>
      </c>
      <c r="I22" s="524"/>
      <c r="J22" s="196" t="s">
        <v>186</v>
      </c>
      <c r="K22" s="236">
        <v>0</v>
      </c>
      <c r="L22" s="535"/>
      <c r="M22" s="207">
        <v>25000</v>
      </c>
      <c r="N22" s="253">
        <v>0</v>
      </c>
      <c r="O22" s="125">
        <v>11428.57</v>
      </c>
      <c r="P22" s="256">
        <v>0</v>
      </c>
    </row>
    <row r="23" spans="2:18" ht="12" thickBot="1" x14ac:dyDescent="0.25">
      <c r="B23" s="218" t="s">
        <v>53</v>
      </c>
      <c r="C23" s="234">
        <v>0</v>
      </c>
      <c r="D23" s="237">
        <v>0</v>
      </c>
      <c r="E23" s="239">
        <v>0</v>
      </c>
      <c r="F23" s="528"/>
      <c r="G23" s="214" t="s">
        <v>37</v>
      </c>
      <c r="H23" s="246">
        <v>17</v>
      </c>
      <c r="I23" s="524"/>
      <c r="J23" s="195" t="s">
        <v>54</v>
      </c>
      <c r="K23" s="236">
        <v>0</v>
      </c>
      <c r="L23" s="535"/>
      <c r="M23" s="208">
        <v>30000</v>
      </c>
      <c r="N23" s="254">
        <v>0</v>
      </c>
      <c r="O23" s="209"/>
      <c r="P23" s="257"/>
    </row>
    <row r="24" spans="2:18" ht="17.25" thickBot="1" x14ac:dyDescent="0.25">
      <c r="B24" s="215" t="s">
        <v>253</v>
      </c>
      <c r="C24" s="234">
        <f t="shared" si="0"/>
        <v>1</v>
      </c>
      <c r="D24" s="237">
        <v>0</v>
      </c>
      <c r="E24" s="239">
        <v>1</v>
      </c>
      <c r="F24" s="528"/>
      <c r="G24" s="214" t="s">
        <v>40</v>
      </c>
      <c r="H24" s="246">
        <v>1</v>
      </c>
      <c r="I24" s="524"/>
      <c r="J24" s="195" t="s">
        <v>142</v>
      </c>
      <c r="K24" s="236">
        <v>0</v>
      </c>
      <c r="L24" s="535"/>
      <c r="M24" s="258" t="s">
        <v>0</v>
      </c>
      <c r="N24" s="259">
        <f>SUM(N10:N23)</f>
        <v>29</v>
      </c>
      <c r="O24" s="258" t="s">
        <v>0</v>
      </c>
      <c r="P24" s="260">
        <f>SUM(P10:P23)</f>
        <v>1</v>
      </c>
    </row>
    <row r="25" spans="2:18" ht="12.75" thickBot="1" x14ac:dyDescent="0.25">
      <c r="B25" s="224" t="s">
        <v>0</v>
      </c>
      <c r="C25" s="248">
        <f>SUM(C10:C24)</f>
        <v>37</v>
      </c>
      <c r="D25" s="248">
        <f>SUM(D10:D24)</f>
        <v>18</v>
      </c>
      <c r="E25" s="297">
        <f>SUM(E10:E24)</f>
        <v>19</v>
      </c>
      <c r="F25" s="528"/>
      <c r="G25" s="215" t="s">
        <v>42</v>
      </c>
      <c r="H25" s="246">
        <v>2</v>
      </c>
      <c r="I25" s="524"/>
      <c r="J25" s="195" t="s">
        <v>141</v>
      </c>
      <c r="K25" s="236">
        <v>0</v>
      </c>
      <c r="L25" s="535"/>
      <c r="M25" s="547" t="s">
        <v>30</v>
      </c>
      <c r="N25" s="548"/>
      <c r="O25" s="536" t="s">
        <v>28</v>
      </c>
      <c r="P25" s="537"/>
    </row>
    <row r="26" spans="2:18" ht="12" thickBot="1" x14ac:dyDescent="0.25">
      <c r="B26" s="133" t="s">
        <v>158</v>
      </c>
      <c r="C26" s="193"/>
      <c r="D26" s="193"/>
      <c r="E26" s="193"/>
      <c r="F26" s="528"/>
      <c r="G26" s="215" t="s">
        <v>44</v>
      </c>
      <c r="H26" s="246">
        <v>0</v>
      </c>
      <c r="I26" s="524"/>
      <c r="J26" s="195" t="s">
        <v>55</v>
      </c>
      <c r="K26" s="236">
        <v>6</v>
      </c>
      <c r="L26" s="535"/>
      <c r="M26" s="210">
        <v>3428.57</v>
      </c>
      <c r="N26" s="288">
        <f>N32+P32</f>
        <v>17</v>
      </c>
      <c r="O26" s="210">
        <v>1142.8599999999999</v>
      </c>
      <c r="P26" s="261">
        <v>9</v>
      </c>
      <c r="R26" s="264"/>
    </row>
    <row r="27" spans="2:18" ht="12.75" thickBot="1" x14ac:dyDescent="0.25">
      <c r="B27" s="270"/>
      <c r="C27" s="193"/>
      <c r="D27" s="193"/>
      <c r="E27" s="193"/>
      <c r="F27" s="528"/>
      <c r="G27" s="216" t="s">
        <v>127</v>
      </c>
      <c r="H27" s="247">
        <v>0</v>
      </c>
      <c r="I27" s="524"/>
      <c r="J27" s="195" t="s">
        <v>132</v>
      </c>
      <c r="K27" s="236">
        <v>0</v>
      </c>
      <c r="L27" s="535"/>
      <c r="M27" s="538"/>
      <c r="N27" s="538"/>
      <c r="O27" s="538"/>
      <c r="P27" s="539"/>
    </row>
    <row r="28" spans="2:18" ht="12" thickBot="1" x14ac:dyDescent="0.25">
      <c r="B28" s="270"/>
      <c r="C28" s="193"/>
      <c r="D28" s="193"/>
      <c r="E28" s="193"/>
      <c r="F28" s="528"/>
      <c r="G28" s="226" t="s">
        <v>0</v>
      </c>
      <c r="H28" s="227">
        <f>H21+H22+H23+H24+H25+H26+H27</f>
        <v>37</v>
      </c>
      <c r="I28" s="524"/>
      <c r="J28" s="195" t="s">
        <v>151</v>
      </c>
      <c r="K28" s="236">
        <v>11</v>
      </c>
      <c r="L28" s="535"/>
      <c r="M28" s="544" t="s">
        <v>118</v>
      </c>
      <c r="N28" s="545"/>
      <c r="O28" s="545"/>
      <c r="P28" s="546"/>
    </row>
    <row r="29" spans="2:18" ht="16.5" x14ac:dyDescent="0.2">
      <c r="B29" s="270"/>
      <c r="C29" s="193"/>
      <c r="D29" s="193"/>
      <c r="E29" s="193"/>
      <c r="F29" s="528"/>
      <c r="I29" s="524"/>
      <c r="J29" s="195" t="s">
        <v>136</v>
      </c>
      <c r="K29" s="236">
        <v>1</v>
      </c>
      <c r="L29" s="535"/>
      <c r="M29" s="250" t="s">
        <v>129</v>
      </c>
      <c r="N29" s="265">
        <v>17</v>
      </c>
      <c r="O29" s="199" t="s">
        <v>173</v>
      </c>
      <c r="P29" s="263">
        <v>12</v>
      </c>
      <c r="Q29" s="264"/>
      <c r="R29" s="264"/>
    </row>
    <row r="30" spans="2:18" ht="16.5" x14ac:dyDescent="0.2">
      <c r="B30" s="270"/>
      <c r="C30" s="193"/>
      <c r="D30" s="193"/>
      <c r="E30" s="193"/>
      <c r="F30" s="528"/>
      <c r="I30" s="524"/>
      <c r="J30" s="221" t="s">
        <v>143</v>
      </c>
      <c r="K30" s="236">
        <v>0</v>
      </c>
      <c r="L30" s="535"/>
      <c r="M30" s="250" t="s">
        <v>130</v>
      </c>
      <c r="N30" s="265">
        <v>0</v>
      </c>
      <c r="O30" s="200" t="s">
        <v>175</v>
      </c>
      <c r="P30" s="197">
        <v>1</v>
      </c>
    </row>
    <row r="31" spans="2:18" ht="16.5" x14ac:dyDescent="0.2">
      <c r="B31" s="270"/>
      <c r="C31" s="193"/>
      <c r="D31" s="193"/>
      <c r="E31" s="193"/>
      <c r="F31" s="528"/>
      <c r="G31" s="193"/>
      <c r="H31" s="193"/>
      <c r="I31" s="524"/>
      <c r="J31" s="221" t="s">
        <v>196</v>
      </c>
      <c r="K31" s="236">
        <v>7</v>
      </c>
      <c r="L31" s="535"/>
      <c r="M31" s="250" t="s">
        <v>172</v>
      </c>
      <c r="N31" s="265">
        <v>0</v>
      </c>
      <c r="O31" s="200" t="s">
        <v>176</v>
      </c>
      <c r="P31" s="197">
        <v>9</v>
      </c>
    </row>
    <row r="32" spans="2:18" ht="17.25" thickBot="1" x14ac:dyDescent="0.25">
      <c r="B32" s="270"/>
      <c r="C32" s="193"/>
      <c r="D32" s="193"/>
      <c r="E32" s="193"/>
      <c r="F32" s="528"/>
      <c r="G32" s="193"/>
      <c r="H32" s="193"/>
      <c r="I32" s="524"/>
      <c r="J32" s="221" t="s">
        <v>184</v>
      </c>
      <c r="K32" s="236">
        <v>4</v>
      </c>
      <c r="L32" s="535"/>
      <c r="M32" s="251" t="s">
        <v>128</v>
      </c>
      <c r="N32" s="266">
        <v>7</v>
      </c>
      <c r="O32" s="201" t="s">
        <v>177</v>
      </c>
      <c r="P32" s="198">
        <v>10</v>
      </c>
    </row>
    <row r="33" spans="2:18" ht="12.75" thickBot="1" x14ac:dyDescent="0.25">
      <c r="F33" s="528"/>
      <c r="G33" s="194"/>
      <c r="H33" s="194"/>
      <c r="I33" s="524"/>
      <c r="J33" s="222" t="s">
        <v>0</v>
      </c>
      <c r="K33" s="225">
        <f>SUM(K10:K32)</f>
        <v>37</v>
      </c>
      <c r="L33" s="535"/>
      <c r="M33" s="223" t="s">
        <v>0</v>
      </c>
      <c r="N33" s="223">
        <f>N29+N30+N31+N32</f>
        <v>24</v>
      </c>
      <c r="O33" s="224" t="s">
        <v>0</v>
      </c>
      <c r="P33" s="262">
        <f>P29+P30+P31+P32</f>
        <v>32</v>
      </c>
      <c r="R33" s="264"/>
    </row>
    <row r="34" spans="2:18" ht="12.75" x14ac:dyDescent="0.2">
      <c r="C34" s="132"/>
      <c r="D34" s="132"/>
      <c r="E34" s="132"/>
      <c r="F34" s="132"/>
      <c r="G34" s="132"/>
      <c r="H34" s="132"/>
      <c r="I34" s="19"/>
      <c r="J34" s="69"/>
      <c r="K34" s="19"/>
      <c r="L34" s="19"/>
      <c r="M34" s="69"/>
      <c r="N34" s="69"/>
      <c r="O34" s="269" t="s">
        <v>550</v>
      </c>
      <c r="P34" s="69"/>
    </row>
    <row r="35" spans="2:18" ht="12.75" x14ac:dyDescent="0.2">
      <c r="B35" s="121" t="s">
        <v>131</v>
      </c>
      <c r="C35" s="132"/>
      <c r="D35" s="132"/>
      <c r="E35" s="132"/>
      <c r="F35" s="132"/>
      <c r="G35" s="132"/>
      <c r="H35" s="132"/>
      <c r="I35" s="19"/>
      <c r="J35" s="69"/>
      <c r="K35" s="19"/>
      <c r="L35" s="19"/>
      <c r="M35" s="69"/>
      <c r="N35" s="69"/>
      <c r="P35" s="69"/>
    </row>
    <row r="36" spans="2:18" ht="12" x14ac:dyDescent="0.2">
      <c r="B36" s="10" t="s">
        <v>189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4"/>
    </row>
    <row r="37" spans="2:18" ht="12" x14ac:dyDescent="0.2">
      <c r="B37" s="10" t="s">
        <v>190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4"/>
    </row>
    <row r="38" spans="2:18" ht="12.75" x14ac:dyDescent="0.2">
      <c r="B38" s="10" t="s">
        <v>191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2"/>
    </row>
    <row r="41" spans="2:18" ht="12.75" x14ac:dyDescent="0.2">
      <c r="N41" s="76" t="s">
        <v>383</v>
      </c>
    </row>
    <row r="42" spans="2:18" ht="12.75" x14ac:dyDescent="0.2">
      <c r="N42" s="69" t="s">
        <v>382</v>
      </c>
    </row>
  </sheetData>
  <mergeCells count="22">
    <mergeCell ref="B3:P3"/>
    <mergeCell ref="B4:P4"/>
    <mergeCell ref="B6:L6"/>
    <mergeCell ref="B7:P7"/>
    <mergeCell ref="B8:C8"/>
    <mergeCell ref="D8:E8"/>
    <mergeCell ref="B9:C9"/>
    <mergeCell ref="G9:H9"/>
    <mergeCell ref="J9:K9"/>
    <mergeCell ref="M9:N9"/>
    <mergeCell ref="O9:P9"/>
    <mergeCell ref="F8:F33"/>
    <mergeCell ref="G20:H20"/>
    <mergeCell ref="L8:L33"/>
    <mergeCell ref="M8:P8"/>
    <mergeCell ref="M27:P27"/>
    <mergeCell ref="M28:P28"/>
    <mergeCell ref="M25:N25"/>
    <mergeCell ref="O25:P25"/>
    <mergeCell ref="I8:I33"/>
    <mergeCell ref="J8:K8"/>
    <mergeCell ref="G8:H8"/>
  </mergeCells>
  <pageMargins left="0.59055118110236227" right="0.59055118110236227" top="0.39370078740157483" bottom="0.3937007874015748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opLeftCell="A3" zoomScale="110" zoomScaleNormal="110" workbookViewId="0">
      <selection activeCell="B3" sqref="B3:P3"/>
    </sheetView>
  </sheetViews>
  <sheetFormatPr baseColWidth="10" defaultRowHeight="12.75" x14ac:dyDescent="0.2"/>
  <cols>
    <col min="1" max="1" width="3.5703125" customWidth="1"/>
    <col min="2" max="2" width="9.140625" customWidth="1"/>
    <col min="3" max="3" width="9" customWidth="1"/>
    <col min="4" max="4" width="5.85546875" customWidth="1"/>
    <col min="5" max="5" width="7.28515625" customWidth="1"/>
    <col min="6" max="6" width="6.140625" customWidth="1"/>
    <col min="7" max="7" width="6" customWidth="1"/>
    <col min="8" max="8" width="9.7109375" customWidth="1"/>
    <col min="9" max="9" width="8.42578125" customWidth="1"/>
    <col min="10" max="10" width="5.7109375" customWidth="1"/>
    <col min="11" max="11" width="7.42578125" customWidth="1"/>
    <col min="12" max="12" width="5.42578125" customWidth="1"/>
    <col min="13" max="13" width="6.140625" customWidth="1"/>
    <col min="14" max="14" width="9.42578125" customWidth="1"/>
    <col min="15" max="15" width="8.85546875" customWidth="1"/>
    <col min="16" max="17" width="10.5703125" customWidth="1"/>
    <col min="18" max="18" width="11.5703125" customWidth="1"/>
    <col min="19" max="19" width="10.42578125" customWidth="1"/>
    <col min="20" max="20" width="11.5703125" customWidth="1"/>
  </cols>
  <sheetData>
    <row r="1" spans="1:20" x14ac:dyDescent="0.2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"/>
      <c r="P1" s="18" t="s">
        <v>194</v>
      </c>
    </row>
    <row r="2" spans="1:20" x14ac:dyDescent="0.2">
      <c r="A2" s="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"/>
      <c r="P2" s="2"/>
    </row>
    <row r="3" spans="1:20" x14ac:dyDescent="0.2">
      <c r="A3" s="2"/>
      <c r="B3" s="490" t="s">
        <v>99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</row>
    <row r="4" spans="1:20" x14ac:dyDescent="0.2">
      <c r="A4" s="2"/>
      <c r="B4" s="490" t="s">
        <v>100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</row>
    <row r="5" spans="1:20" x14ac:dyDescent="0.2">
      <c r="A5" s="2"/>
      <c r="B5" s="490" t="s">
        <v>146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</row>
    <row r="6" spans="1:20" ht="13.5" thickBot="1" x14ac:dyDescent="0.25">
      <c r="A6" s="2"/>
      <c r="B6" s="19"/>
      <c r="C6" s="19"/>
      <c r="D6" s="19"/>
      <c r="E6" s="19"/>
      <c r="F6" s="19"/>
      <c r="G6" s="19"/>
      <c r="H6" s="19"/>
      <c r="I6" s="2"/>
      <c r="J6" s="2"/>
      <c r="K6" s="2"/>
      <c r="L6" s="2"/>
      <c r="M6" s="2"/>
      <c r="N6" s="2"/>
      <c r="O6" s="2"/>
      <c r="P6" s="2"/>
      <c r="Q6" s="2" t="s">
        <v>11</v>
      </c>
    </row>
    <row r="7" spans="1:20" ht="16.5" customHeight="1" thickBot="1" x14ac:dyDescent="0.25">
      <c r="A7" s="2"/>
      <c r="B7" s="47"/>
      <c r="C7" s="554" t="s">
        <v>548</v>
      </c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126"/>
      <c r="Q7" s="26"/>
      <c r="R7" s="26"/>
      <c r="S7" s="26"/>
      <c r="T7" s="26"/>
    </row>
    <row r="8" spans="1:20" ht="15" customHeight="1" thickBot="1" x14ac:dyDescent="0.25">
      <c r="A8" s="2"/>
      <c r="B8" s="48"/>
      <c r="C8" s="555" t="s">
        <v>101</v>
      </c>
      <c r="D8" s="556"/>
      <c r="E8" s="556"/>
      <c r="F8" s="556"/>
      <c r="G8" s="557"/>
      <c r="H8" s="49" t="s">
        <v>102</v>
      </c>
      <c r="I8" s="555" t="s">
        <v>103</v>
      </c>
      <c r="J8" s="556"/>
      <c r="K8" s="556"/>
      <c r="L8" s="556"/>
      <c r="M8" s="557"/>
      <c r="N8" s="129"/>
      <c r="O8" s="128"/>
      <c r="P8" s="127" t="s">
        <v>0</v>
      </c>
      <c r="Q8" s="26"/>
      <c r="R8" s="26"/>
      <c r="S8" s="26"/>
      <c r="T8" s="26"/>
    </row>
    <row r="9" spans="1:20" ht="35.25" customHeight="1" thickBot="1" x14ac:dyDescent="0.25">
      <c r="A9" s="2"/>
      <c r="B9" s="50" t="s">
        <v>71</v>
      </c>
      <c r="C9" s="164" t="s">
        <v>104</v>
      </c>
      <c r="D9" s="51" t="s">
        <v>30</v>
      </c>
      <c r="E9" s="51" t="s">
        <v>105</v>
      </c>
      <c r="F9" s="51" t="s">
        <v>29</v>
      </c>
      <c r="G9" s="51" t="s">
        <v>28</v>
      </c>
      <c r="H9" s="119" t="s">
        <v>106</v>
      </c>
      <c r="I9" s="164" t="s">
        <v>107</v>
      </c>
      <c r="J9" s="51" t="s">
        <v>30</v>
      </c>
      <c r="K9" s="51" t="s">
        <v>105</v>
      </c>
      <c r="L9" s="51" t="s">
        <v>29</v>
      </c>
      <c r="M9" s="120" t="s">
        <v>28</v>
      </c>
      <c r="N9" s="119" t="s">
        <v>135</v>
      </c>
      <c r="O9" s="166" t="s">
        <v>134</v>
      </c>
      <c r="P9" s="130" t="s">
        <v>108</v>
      </c>
      <c r="Q9" s="26"/>
      <c r="R9" s="26"/>
      <c r="S9" s="26"/>
      <c r="T9" s="26"/>
    </row>
    <row r="10" spans="1:20" ht="21.95" customHeight="1" thickBot="1" x14ac:dyDescent="0.25">
      <c r="A10" s="2"/>
      <c r="B10" s="326" t="s">
        <v>56</v>
      </c>
      <c r="C10" s="327">
        <v>18</v>
      </c>
      <c r="D10" s="328">
        <v>11</v>
      </c>
      <c r="E10" s="328">
        <v>15</v>
      </c>
      <c r="F10" s="328">
        <v>0</v>
      </c>
      <c r="G10" s="329">
        <v>6</v>
      </c>
      <c r="H10" s="330">
        <f>SUM(D10:G10)</f>
        <v>32</v>
      </c>
      <c r="I10" s="331">
        <v>24</v>
      </c>
      <c r="J10" s="328">
        <v>11</v>
      </c>
      <c r="K10" s="328">
        <v>21</v>
      </c>
      <c r="L10" s="328">
        <v>0</v>
      </c>
      <c r="M10" s="328">
        <v>7</v>
      </c>
      <c r="N10" s="330">
        <f>SUM(J10:M10)</f>
        <v>39</v>
      </c>
      <c r="O10" s="332">
        <f>+C10+I10</f>
        <v>42</v>
      </c>
      <c r="P10" s="333">
        <f t="shared" ref="P10:P14" si="0">+N10+H10</f>
        <v>71</v>
      </c>
      <c r="Q10" s="52"/>
      <c r="R10" s="52"/>
      <c r="S10" s="28"/>
      <c r="T10" s="28"/>
    </row>
    <row r="11" spans="1:20" ht="21.95" customHeight="1" thickBot="1" x14ac:dyDescent="0.25">
      <c r="A11" s="2"/>
      <c r="B11" s="334" t="s">
        <v>57</v>
      </c>
      <c r="C11" s="335">
        <v>14</v>
      </c>
      <c r="D11" s="336">
        <v>10</v>
      </c>
      <c r="E11" s="336">
        <v>8</v>
      </c>
      <c r="F11" s="336">
        <v>1</v>
      </c>
      <c r="G11" s="336">
        <v>6</v>
      </c>
      <c r="H11" s="330">
        <f t="shared" ref="H11:H21" si="1">SUM(D11:G11)</f>
        <v>25</v>
      </c>
      <c r="I11" s="335">
        <v>25</v>
      </c>
      <c r="J11" s="336">
        <v>10</v>
      </c>
      <c r="K11" s="336">
        <v>18</v>
      </c>
      <c r="L11" s="336">
        <v>3</v>
      </c>
      <c r="M11" s="336">
        <v>3</v>
      </c>
      <c r="N11" s="330">
        <f t="shared" ref="N11:N14" si="2">SUM(J11:M11)</f>
        <v>34</v>
      </c>
      <c r="O11" s="337">
        <f t="shared" ref="O11:O21" si="3">+C11+I11</f>
        <v>39</v>
      </c>
      <c r="P11" s="333">
        <f t="shared" si="0"/>
        <v>59</v>
      </c>
      <c r="Q11" s="53"/>
      <c r="R11" s="28"/>
      <c r="S11" s="28"/>
      <c r="T11" s="28"/>
    </row>
    <row r="12" spans="1:20" ht="21.95" customHeight="1" thickBot="1" x14ac:dyDescent="0.25">
      <c r="A12" s="2"/>
      <c r="B12" s="334" t="s">
        <v>58</v>
      </c>
      <c r="C12" s="335">
        <v>7</v>
      </c>
      <c r="D12" s="336">
        <v>3</v>
      </c>
      <c r="E12" s="336">
        <v>5</v>
      </c>
      <c r="F12" s="336">
        <v>0</v>
      </c>
      <c r="G12" s="336">
        <v>2</v>
      </c>
      <c r="H12" s="330">
        <f>SUM(D12:G12)</f>
        <v>10</v>
      </c>
      <c r="I12" s="335">
        <v>6</v>
      </c>
      <c r="J12" s="336">
        <v>1</v>
      </c>
      <c r="K12" s="336">
        <v>5</v>
      </c>
      <c r="L12" s="336">
        <v>3</v>
      </c>
      <c r="M12" s="336">
        <v>0</v>
      </c>
      <c r="N12" s="330">
        <f t="shared" si="2"/>
        <v>9</v>
      </c>
      <c r="O12" s="337">
        <f t="shared" si="3"/>
        <v>13</v>
      </c>
      <c r="P12" s="333">
        <f t="shared" si="0"/>
        <v>19</v>
      </c>
      <c r="Q12" s="53"/>
      <c r="R12" s="28"/>
      <c r="S12" s="28" t="s">
        <v>109</v>
      </c>
      <c r="T12" s="28"/>
    </row>
    <row r="13" spans="1:20" ht="21.95" customHeight="1" thickBot="1" x14ac:dyDescent="0.25">
      <c r="A13" s="2"/>
      <c r="B13" s="334" t="s">
        <v>59</v>
      </c>
      <c r="C13" s="338">
        <v>5</v>
      </c>
      <c r="D13" s="336">
        <v>2</v>
      </c>
      <c r="E13" s="336">
        <v>5</v>
      </c>
      <c r="F13" s="336">
        <v>0</v>
      </c>
      <c r="G13" s="336">
        <v>5</v>
      </c>
      <c r="H13" s="330">
        <f>SUM(D13:G13)</f>
        <v>12</v>
      </c>
      <c r="I13" s="338">
        <v>1</v>
      </c>
      <c r="J13" s="336">
        <v>1</v>
      </c>
      <c r="K13" s="336">
        <v>1</v>
      </c>
      <c r="L13" s="336">
        <v>0</v>
      </c>
      <c r="M13" s="336">
        <v>1</v>
      </c>
      <c r="N13" s="330">
        <f t="shared" si="2"/>
        <v>3</v>
      </c>
      <c r="O13" s="337">
        <f t="shared" si="3"/>
        <v>6</v>
      </c>
      <c r="P13" s="333">
        <f t="shared" si="0"/>
        <v>15</v>
      </c>
      <c r="Q13" s="53"/>
      <c r="R13" s="28"/>
      <c r="S13" s="28"/>
      <c r="T13" s="28"/>
    </row>
    <row r="14" spans="1:20" ht="21.95" customHeight="1" thickBot="1" x14ac:dyDescent="0.25">
      <c r="A14" s="2"/>
      <c r="B14" s="334" t="s">
        <v>60</v>
      </c>
      <c r="C14" s="335">
        <v>18</v>
      </c>
      <c r="D14" s="336">
        <v>11</v>
      </c>
      <c r="E14" s="336">
        <v>12</v>
      </c>
      <c r="F14" s="336">
        <v>0</v>
      </c>
      <c r="G14" s="336">
        <v>3</v>
      </c>
      <c r="H14" s="330">
        <f>D14+E14+F14+G14</f>
        <v>26</v>
      </c>
      <c r="I14" s="335">
        <v>19</v>
      </c>
      <c r="J14" s="336">
        <v>7</v>
      </c>
      <c r="K14" s="336">
        <v>17</v>
      </c>
      <c r="L14" s="336">
        <v>1</v>
      </c>
      <c r="M14" s="336">
        <v>6</v>
      </c>
      <c r="N14" s="330">
        <f t="shared" si="2"/>
        <v>31</v>
      </c>
      <c r="O14" s="337">
        <f>+C14+I14</f>
        <v>37</v>
      </c>
      <c r="P14" s="339">
        <f t="shared" si="0"/>
        <v>57</v>
      </c>
      <c r="Q14" s="53"/>
      <c r="R14" s="28"/>
      <c r="S14" s="28"/>
      <c r="T14" s="28"/>
    </row>
    <row r="15" spans="1:20" ht="21.95" customHeight="1" thickBot="1" x14ac:dyDescent="0.25">
      <c r="A15" s="2"/>
      <c r="B15" s="334" t="s">
        <v>61</v>
      </c>
      <c r="C15" s="335">
        <v>0</v>
      </c>
      <c r="D15" s="336">
        <v>0</v>
      </c>
      <c r="E15" s="336">
        <v>0</v>
      </c>
      <c r="F15" s="336">
        <v>0</v>
      </c>
      <c r="G15" s="336">
        <v>0</v>
      </c>
      <c r="H15" s="330">
        <f t="shared" si="1"/>
        <v>0</v>
      </c>
      <c r="I15" s="335">
        <v>0</v>
      </c>
      <c r="J15" s="336">
        <v>0</v>
      </c>
      <c r="K15" s="336">
        <v>0</v>
      </c>
      <c r="L15" s="336">
        <v>0</v>
      </c>
      <c r="M15" s="336">
        <v>0</v>
      </c>
      <c r="N15" s="330">
        <v>0</v>
      </c>
      <c r="O15" s="337">
        <f t="shared" si="3"/>
        <v>0</v>
      </c>
      <c r="P15" s="339">
        <v>0</v>
      </c>
      <c r="Q15" s="53"/>
      <c r="R15" s="28"/>
      <c r="S15" s="28"/>
      <c r="T15" s="28"/>
    </row>
    <row r="16" spans="1:20" ht="21.95" customHeight="1" thickBot="1" x14ac:dyDescent="0.25">
      <c r="A16" s="2"/>
      <c r="B16" s="334" t="s">
        <v>62</v>
      </c>
      <c r="C16" s="335">
        <v>0</v>
      </c>
      <c r="D16" s="336">
        <v>0</v>
      </c>
      <c r="E16" s="336">
        <v>0</v>
      </c>
      <c r="F16" s="336">
        <v>0</v>
      </c>
      <c r="G16" s="336">
        <v>0</v>
      </c>
      <c r="H16" s="330">
        <f t="shared" si="1"/>
        <v>0</v>
      </c>
      <c r="I16" s="335">
        <v>0</v>
      </c>
      <c r="J16" s="336">
        <v>0</v>
      </c>
      <c r="K16" s="336">
        <v>0</v>
      </c>
      <c r="L16" s="336">
        <v>0</v>
      </c>
      <c r="M16" s="336">
        <v>0</v>
      </c>
      <c r="N16" s="330">
        <v>0</v>
      </c>
      <c r="O16" s="337">
        <f t="shared" si="3"/>
        <v>0</v>
      </c>
      <c r="P16" s="339">
        <v>0</v>
      </c>
      <c r="Q16" s="54"/>
      <c r="R16" s="54"/>
      <c r="S16" s="28"/>
      <c r="T16" s="28"/>
    </row>
    <row r="17" spans="1:20" ht="21.95" customHeight="1" thickBot="1" x14ac:dyDescent="0.25">
      <c r="A17" s="2"/>
      <c r="B17" s="340" t="s">
        <v>63</v>
      </c>
      <c r="C17" s="335">
        <v>0</v>
      </c>
      <c r="D17" s="336">
        <v>0</v>
      </c>
      <c r="E17" s="336">
        <v>0</v>
      </c>
      <c r="F17" s="336">
        <v>0</v>
      </c>
      <c r="G17" s="336">
        <v>0</v>
      </c>
      <c r="H17" s="330">
        <f t="shared" si="1"/>
        <v>0</v>
      </c>
      <c r="I17" s="335">
        <v>0</v>
      </c>
      <c r="J17" s="336">
        <v>0</v>
      </c>
      <c r="K17" s="336">
        <v>0</v>
      </c>
      <c r="L17" s="336">
        <v>0</v>
      </c>
      <c r="M17" s="336">
        <v>0</v>
      </c>
      <c r="N17" s="330">
        <v>0</v>
      </c>
      <c r="O17" s="337">
        <f t="shared" si="3"/>
        <v>0</v>
      </c>
      <c r="P17" s="339">
        <v>0</v>
      </c>
      <c r="Q17" s="54"/>
      <c r="R17" s="54"/>
      <c r="S17" s="28"/>
      <c r="T17" s="28"/>
    </row>
    <row r="18" spans="1:20" ht="21.95" customHeight="1" thickBot="1" x14ac:dyDescent="0.25">
      <c r="A18" s="2"/>
      <c r="B18" s="349" t="s">
        <v>133</v>
      </c>
      <c r="C18" s="350">
        <v>0</v>
      </c>
      <c r="D18" s="351">
        <v>0</v>
      </c>
      <c r="E18" s="351">
        <v>0</v>
      </c>
      <c r="F18" s="351">
        <v>0</v>
      </c>
      <c r="G18" s="351">
        <v>0</v>
      </c>
      <c r="H18" s="352">
        <v>0</v>
      </c>
      <c r="I18" s="350">
        <v>0</v>
      </c>
      <c r="J18" s="351">
        <v>0</v>
      </c>
      <c r="K18" s="351">
        <v>0</v>
      </c>
      <c r="L18" s="351">
        <v>0</v>
      </c>
      <c r="M18" s="351">
        <v>0</v>
      </c>
      <c r="N18" s="352">
        <v>0</v>
      </c>
      <c r="O18" s="353">
        <f t="shared" si="3"/>
        <v>0</v>
      </c>
      <c r="P18" s="354">
        <v>0</v>
      </c>
      <c r="Q18" s="54"/>
      <c r="R18" s="54"/>
      <c r="S18" s="28"/>
      <c r="T18" s="28"/>
    </row>
    <row r="19" spans="1:20" ht="21.95" customHeight="1" thickBot="1" x14ac:dyDescent="0.25">
      <c r="A19" s="2"/>
      <c r="B19" s="355" t="s">
        <v>64</v>
      </c>
      <c r="C19" s="350">
        <v>0</v>
      </c>
      <c r="D19" s="351">
        <v>0</v>
      </c>
      <c r="E19" s="351">
        <v>0</v>
      </c>
      <c r="F19" s="351">
        <v>0</v>
      </c>
      <c r="G19" s="351">
        <v>0</v>
      </c>
      <c r="H19" s="352">
        <f t="shared" si="1"/>
        <v>0</v>
      </c>
      <c r="I19" s="350">
        <v>0</v>
      </c>
      <c r="J19" s="351">
        <v>0</v>
      </c>
      <c r="K19" s="351">
        <v>0</v>
      </c>
      <c r="L19" s="351">
        <v>0</v>
      </c>
      <c r="M19" s="351">
        <v>0</v>
      </c>
      <c r="N19" s="352">
        <v>0</v>
      </c>
      <c r="O19" s="353">
        <f t="shared" si="3"/>
        <v>0</v>
      </c>
      <c r="P19" s="354">
        <v>0</v>
      </c>
      <c r="Q19" s="54"/>
      <c r="R19" s="54"/>
      <c r="S19" s="28"/>
      <c r="T19" s="28"/>
    </row>
    <row r="20" spans="1:20" ht="21.95" customHeight="1" thickBot="1" x14ac:dyDescent="0.25">
      <c r="A20" s="2"/>
      <c r="B20" s="147" t="s">
        <v>66</v>
      </c>
      <c r="C20" s="165">
        <v>0</v>
      </c>
      <c r="D20" s="118">
        <v>0</v>
      </c>
      <c r="E20" s="118">
        <v>0</v>
      </c>
      <c r="F20" s="118">
        <v>0</v>
      </c>
      <c r="G20" s="118">
        <v>0</v>
      </c>
      <c r="H20" s="138">
        <v>0</v>
      </c>
      <c r="I20" s="165">
        <v>0</v>
      </c>
      <c r="J20" s="118">
        <v>0</v>
      </c>
      <c r="K20" s="118">
        <v>0</v>
      </c>
      <c r="L20" s="118">
        <v>0</v>
      </c>
      <c r="M20" s="118">
        <v>0</v>
      </c>
      <c r="N20" s="138">
        <v>0</v>
      </c>
      <c r="O20" s="167">
        <f t="shared" si="3"/>
        <v>0</v>
      </c>
      <c r="P20" s="146">
        <v>0</v>
      </c>
      <c r="Q20" s="54"/>
      <c r="R20" s="54"/>
      <c r="S20" s="28"/>
      <c r="T20" s="28"/>
    </row>
    <row r="21" spans="1:20" ht="21.95" customHeight="1" thickBot="1" x14ac:dyDescent="0.25">
      <c r="A21" s="2"/>
      <c r="B21" s="148" t="s">
        <v>67</v>
      </c>
      <c r="C21" s="165">
        <v>0</v>
      </c>
      <c r="D21" s="118">
        <v>0</v>
      </c>
      <c r="E21" s="118">
        <v>0</v>
      </c>
      <c r="F21" s="118">
        <v>0</v>
      </c>
      <c r="G21" s="118">
        <v>0</v>
      </c>
      <c r="H21" s="138">
        <f t="shared" si="1"/>
        <v>0</v>
      </c>
      <c r="I21" s="165">
        <v>0</v>
      </c>
      <c r="J21" s="118">
        <v>0</v>
      </c>
      <c r="K21" s="118">
        <v>0</v>
      </c>
      <c r="L21" s="118">
        <v>0</v>
      </c>
      <c r="M21" s="118">
        <v>0</v>
      </c>
      <c r="N21" s="149">
        <v>0</v>
      </c>
      <c r="O21" s="168">
        <f t="shared" si="3"/>
        <v>0</v>
      </c>
      <c r="P21" s="150">
        <v>0</v>
      </c>
      <c r="Q21" s="54"/>
      <c r="R21" s="54"/>
      <c r="S21" s="28"/>
      <c r="T21" s="28"/>
    </row>
    <row r="22" spans="1:20" ht="17.25" customHeight="1" thickBot="1" x14ac:dyDescent="0.25">
      <c r="A22" s="2"/>
      <c r="B22" s="151" t="s">
        <v>110</v>
      </c>
      <c r="C22" s="152">
        <f>SUM(C10:C21)</f>
        <v>62</v>
      </c>
      <c r="D22" s="152">
        <f t="shared" ref="D22:P22" si="4">SUM(D10:D21)</f>
        <v>37</v>
      </c>
      <c r="E22" s="152">
        <f t="shared" si="4"/>
        <v>45</v>
      </c>
      <c r="F22" s="152">
        <f t="shared" si="4"/>
        <v>1</v>
      </c>
      <c r="G22" s="153">
        <f t="shared" si="4"/>
        <v>22</v>
      </c>
      <c r="H22" s="154">
        <f t="shared" si="4"/>
        <v>105</v>
      </c>
      <c r="I22" s="155">
        <f t="shared" si="4"/>
        <v>75</v>
      </c>
      <c r="J22" s="156">
        <f t="shared" si="4"/>
        <v>30</v>
      </c>
      <c r="K22" s="156">
        <f t="shared" si="4"/>
        <v>62</v>
      </c>
      <c r="L22" s="156">
        <f t="shared" si="4"/>
        <v>7</v>
      </c>
      <c r="M22" s="156">
        <f t="shared" si="4"/>
        <v>17</v>
      </c>
      <c r="N22" s="154">
        <f t="shared" si="4"/>
        <v>116</v>
      </c>
      <c r="O22" s="157">
        <f t="shared" si="4"/>
        <v>137</v>
      </c>
      <c r="P22" s="154">
        <f t="shared" si="4"/>
        <v>221</v>
      </c>
      <c r="Q22" s="54"/>
      <c r="R22" s="54"/>
      <c r="S22" s="28"/>
      <c r="T22" s="28"/>
    </row>
    <row r="23" spans="1:20" ht="14.25" customHeight="1" x14ac:dyDescent="0.2">
      <c r="A23" s="2"/>
      <c r="B23" s="134" t="s">
        <v>158</v>
      </c>
      <c r="C23" s="2"/>
      <c r="D23" s="2"/>
      <c r="E23" s="2"/>
      <c r="F23" s="2"/>
      <c r="G23" s="2"/>
      <c r="H23" s="2"/>
      <c r="I23" s="37"/>
      <c r="J23" s="37"/>
      <c r="K23" s="37"/>
      <c r="L23" s="37"/>
      <c r="M23" s="37"/>
      <c r="N23" s="37"/>
      <c r="O23" s="2"/>
      <c r="P23" s="136" t="s">
        <v>549</v>
      </c>
    </row>
    <row r="24" spans="1:20" x14ac:dyDescent="0.2">
      <c r="A24" s="2"/>
      <c r="B24" s="55" t="s">
        <v>111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20" x14ac:dyDescent="0.2">
      <c r="A25" s="2"/>
      <c r="B25" s="5"/>
      <c r="C25" s="3"/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1"/>
    </row>
    <row r="26" spans="1:20" x14ac:dyDescent="0.2">
      <c r="A26" s="2"/>
      <c r="B26" s="5"/>
      <c r="C26" s="3"/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1"/>
    </row>
    <row r="27" spans="1:20" x14ac:dyDescent="0.2">
      <c r="A27" s="2"/>
      <c r="B27" s="2"/>
      <c r="C27" s="44"/>
      <c r="D27" s="2"/>
      <c r="E27" s="2"/>
      <c r="F27" s="2"/>
      <c r="G27" s="2"/>
      <c r="H27" s="2"/>
      <c r="I27" s="2"/>
      <c r="J27" s="2"/>
      <c r="K27" s="2"/>
      <c r="L27" s="2"/>
      <c r="M27" s="2"/>
      <c r="N27" s="2" t="s">
        <v>16</v>
      </c>
      <c r="O27" s="2"/>
      <c r="P27" s="2"/>
      <c r="Q27" s="1"/>
    </row>
    <row r="28" spans="1:20" x14ac:dyDescent="0.2">
      <c r="A28" s="2"/>
      <c r="B28" s="2"/>
      <c r="C28" s="44"/>
      <c r="D28" s="2"/>
      <c r="E28" s="2"/>
      <c r="F28" s="2"/>
      <c r="G28" s="2"/>
      <c r="H28" s="2"/>
      <c r="I28" s="2"/>
      <c r="J28" s="2"/>
      <c r="K28" s="2"/>
      <c r="L28" s="2"/>
      <c r="M28" s="2"/>
      <c r="N28" s="9" t="s">
        <v>546</v>
      </c>
      <c r="O28" s="2"/>
      <c r="P28" s="2"/>
      <c r="Q28" s="2"/>
    </row>
    <row r="29" spans="1:20" x14ac:dyDescent="0.2">
      <c r="A29" s="2"/>
      <c r="B29" s="56"/>
      <c r="C29" s="57"/>
      <c r="D29" s="57"/>
      <c r="E29" s="2"/>
      <c r="F29" s="2"/>
      <c r="G29" s="2"/>
      <c r="H29" s="5"/>
      <c r="I29" s="5"/>
      <c r="J29" s="5"/>
      <c r="K29" s="5"/>
      <c r="L29" s="5"/>
      <c r="M29" s="2"/>
      <c r="N29" s="2" t="s">
        <v>382</v>
      </c>
      <c r="O29" s="5"/>
      <c r="P29" s="5"/>
      <c r="Q29" s="5"/>
    </row>
    <row r="30" spans="1:20" x14ac:dyDescent="0.2">
      <c r="C30" s="4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P30" s="44"/>
      <c r="Q30" s="1"/>
    </row>
    <row r="31" spans="1:20" x14ac:dyDescent="0.2">
      <c r="C31" s="4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P31" s="44"/>
      <c r="Q31" s="1"/>
    </row>
    <row r="32" spans="1:20" ht="15.95" customHeight="1" x14ac:dyDescent="0.2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Q32" s="1"/>
    </row>
    <row r="33" spans="1:17" ht="15.95" customHeight="1" x14ac:dyDescent="0.2">
      <c r="B33" s="490"/>
      <c r="C33" s="490"/>
      <c r="D33" s="490"/>
      <c r="E33" s="490"/>
      <c r="F33" s="490"/>
      <c r="G33" s="490"/>
      <c r="H33" s="490"/>
      <c r="I33" s="490"/>
      <c r="J33" s="490"/>
      <c r="K33" s="490"/>
      <c r="L33" s="490"/>
      <c r="M33" s="490"/>
      <c r="N33" s="490"/>
      <c r="O33" s="490"/>
      <c r="P33" s="490"/>
      <c r="Q33" s="1"/>
    </row>
    <row r="34" spans="1:17" ht="15.95" customHeight="1" x14ac:dyDescent="0.2"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1"/>
    </row>
    <row r="35" spans="1:17" ht="15.95" customHeight="1" x14ac:dyDescent="0.2"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</row>
    <row r="36" spans="1:17" ht="15.95" customHeight="1" x14ac:dyDescent="0.2">
      <c r="B36" s="19"/>
      <c r="C36" s="19"/>
      <c r="D36" s="19"/>
      <c r="E36" s="19"/>
      <c r="F36" s="19"/>
      <c r="G36" s="19"/>
      <c r="H36" s="19"/>
      <c r="I36" s="2"/>
      <c r="J36" s="2"/>
      <c r="K36" s="2"/>
      <c r="L36" s="2"/>
      <c r="M36" s="2"/>
      <c r="N36" s="2"/>
      <c r="O36" s="2"/>
      <c r="P36" s="2"/>
    </row>
    <row r="37" spans="1:17" ht="21.95" customHeight="1" x14ac:dyDescent="0.2">
      <c r="B37" s="58"/>
      <c r="C37" s="552"/>
      <c r="D37" s="552"/>
      <c r="E37" s="552"/>
      <c r="F37" s="552"/>
      <c r="G37" s="552"/>
      <c r="H37" s="552"/>
      <c r="I37" s="552"/>
      <c r="J37" s="552"/>
      <c r="K37" s="552"/>
      <c r="L37" s="552"/>
      <c r="M37" s="552"/>
      <c r="N37" s="552"/>
      <c r="O37" s="552"/>
      <c r="P37" s="59"/>
    </row>
    <row r="38" spans="1:17" ht="21.95" customHeight="1" x14ac:dyDescent="0.2">
      <c r="B38" s="58"/>
      <c r="C38" s="553"/>
      <c r="D38" s="553"/>
      <c r="E38" s="553"/>
      <c r="F38" s="553"/>
      <c r="G38" s="553"/>
      <c r="H38" s="60"/>
      <c r="I38" s="553"/>
      <c r="J38" s="553"/>
      <c r="K38" s="553"/>
      <c r="L38" s="553"/>
      <c r="M38" s="553"/>
      <c r="N38" s="60"/>
      <c r="O38" s="61"/>
      <c r="P38" s="61"/>
    </row>
    <row r="39" spans="1:17" ht="34.5" customHeight="1" x14ac:dyDescent="0.2">
      <c r="B39" s="58"/>
      <c r="C39" s="26"/>
      <c r="D39" s="62"/>
      <c r="E39" s="62"/>
      <c r="F39" s="62"/>
      <c r="G39" s="62"/>
      <c r="H39" s="26"/>
      <c r="I39" s="63"/>
      <c r="J39" s="62"/>
      <c r="K39" s="62"/>
      <c r="L39" s="62"/>
      <c r="M39" s="62"/>
      <c r="N39" s="26"/>
      <c r="O39" s="64"/>
      <c r="P39" s="61"/>
    </row>
    <row r="40" spans="1:17" ht="21.95" customHeight="1" x14ac:dyDescent="0.2">
      <c r="B40" s="65"/>
      <c r="C40" s="66"/>
      <c r="D40" s="67"/>
      <c r="E40" s="67"/>
      <c r="F40" s="67"/>
      <c r="G40" s="67"/>
      <c r="H40" s="67"/>
      <c r="I40" s="66"/>
      <c r="J40" s="67"/>
      <c r="K40" s="67"/>
      <c r="L40" s="67"/>
      <c r="M40" s="67"/>
      <c r="N40" s="67"/>
      <c r="O40" s="66"/>
      <c r="P40" s="68"/>
    </row>
    <row r="41" spans="1:17" ht="21.95" customHeight="1" x14ac:dyDescent="0.2">
      <c r="B41" s="65"/>
      <c r="C41" s="66"/>
      <c r="D41" s="67"/>
      <c r="E41" s="67"/>
      <c r="F41" s="67"/>
      <c r="G41" s="67"/>
      <c r="H41" s="67"/>
      <c r="I41" s="66"/>
      <c r="J41" s="67"/>
      <c r="K41" s="67"/>
      <c r="L41" s="67"/>
      <c r="M41" s="67"/>
      <c r="N41" s="67"/>
      <c r="O41" s="66"/>
      <c r="P41" s="68"/>
    </row>
    <row r="42" spans="1:17" ht="21.95" customHeight="1" x14ac:dyDescent="0.2">
      <c r="B42" s="65"/>
      <c r="C42" s="66"/>
      <c r="D42" s="67"/>
      <c r="E42" s="67"/>
      <c r="F42" s="67"/>
      <c r="G42" s="67"/>
      <c r="H42" s="67"/>
      <c r="I42" s="66"/>
      <c r="J42" s="67"/>
      <c r="K42" s="67"/>
      <c r="L42" s="67"/>
      <c r="M42" s="67"/>
      <c r="N42" s="67"/>
      <c r="O42" s="66"/>
      <c r="P42" s="68"/>
    </row>
    <row r="43" spans="1:17" ht="21.95" customHeight="1" x14ac:dyDescent="0.2">
      <c r="B43" s="65"/>
      <c r="C43" s="69"/>
      <c r="D43" s="70"/>
      <c r="E43" s="70"/>
      <c r="F43" s="70"/>
      <c r="G43" s="70"/>
      <c r="H43" s="67"/>
      <c r="I43" s="69"/>
      <c r="J43" s="70"/>
      <c r="K43" s="70"/>
      <c r="L43" s="70"/>
      <c r="M43" s="70"/>
      <c r="N43" s="67"/>
      <c r="O43" s="69"/>
      <c r="P43" s="68"/>
    </row>
    <row r="44" spans="1:17" ht="21.95" customHeight="1" x14ac:dyDescent="0.2">
      <c r="B44" s="65"/>
      <c r="C44" s="69"/>
      <c r="D44" s="70"/>
      <c r="E44" s="70"/>
      <c r="F44" s="70"/>
      <c r="G44" s="70"/>
      <c r="H44" s="67"/>
      <c r="I44" s="69"/>
      <c r="J44" s="70"/>
      <c r="K44" s="70"/>
      <c r="L44" s="70"/>
      <c r="M44" s="70"/>
      <c r="N44" s="67"/>
      <c r="O44" s="69"/>
      <c r="P44" s="68"/>
    </row>
    <row r="45" spans="1:17" ht="21.95" customHeight="1" x14ac:dyDescent="0.2">
      <c r="B45" s="65"/>
      <c r="C45" s="66"/>
      <c r="D45" s="67"/>
      <c r="E45" s="67"/>
      <c r="F45" s="67"/>
      <c r="G45" s="67"/>
      <c r="H45" s="67"/>
      <c r="I45" s="66"/>
      <c r="J45" s="67"/>
      <c r="K45" s="67"/>
      <c r="L45" s="67"/>
      <c r="M45" s="67"/>
      <c r="N45" s="67"/>
      <c r="O45" s="69"/>
      <c r="P45" s="68"/>
    </row>
    <row r="46" spans="1:17" ht="21.95" customHeight="1" x14ac:dyDescent="0.2">
      <c r="A46" t="s">
        <v>109</v>
      </c>
      <c r="B46" s="65"/>
      <c r="C46" s="66"/>
      <c r="D46" s="67"/>
      <c r="E46" s="67"/>
      <c r="F46" s="67"/>
      <c r="G46" s="67"/>
      <c r="H46" s="67"/>
      <c r="I46" s="66"/>
      <c r="J46" s="67"/>
      <c r="K46" s="67"/>
      <c r="L46" s="67"/>
      <c r="M46" s="67"/>
      <c r="N46" s="67"/>
      <c r="O46" s="66"/>
      <c r="P46" s="68"/>
    </row>
    <row r="47" spans="1:17" ht="21.95" customHeight="1" x14ac:dyDescent="0.2">
      <c r="B47" s="65"/>
      <c r="C47" s="66"/>
      <c r="D47" s="67"/>
      <c r="E47" s="67"/>
      <c r="F47" s="67"/>
      <c r="G47" s="67"/>
      <c r="H47" s="67"/>
      <c r="I47" s="66"/>
      <c r="J47" s="67"/>
      <c r="K47" s="67"/>
      <c r="L47" s="67"/>
      <c r="M47" s="67"/>
      <c r="N47" s="67"/>
      <c r="O47" s="66"/>
      <c r="P47" s="68"/>
    </row>
    <row r="48" spans="1:17" ht="21.95" customHeight="1" x14ac:dyDescent="0.2">
      <c r="B48" s="65"/>
      <c r="C48" s="66"/>
      <c r="D48" s="67"/>
      <c r="E48" s="67"/>
      <c r="F48" s="67"/>
      <c r="G48" s="67"/>
      <c r="H48" s="67"/>
      <c r="I48" s="66"/>
      <c r="J48" s="67"/>
      <c r="K48" s="67"/>
      <c r="L48" s="67"/>
      <c r="M48" s="67"/>
      <c r="N48" s="67"/>
      <c r="O48" s="66"/>
      <c r="P48" s="67"/>
    </row>
    <row r="49" spans="2:16" ht="21.95" customHeight="1" x14ac:dyDescent="0.2">
      <c r="B49" s="65"/>
      <c r="C49" s="66"/>
      <c r="D49" s="67"/>
      <c r="E49" s="67"/>
      <c r="F49" s="67"/>
      <c r="G49" s="67"/>
      <c r="H49" s="67"/>
      <c r="I49" s="66"/>
      <c r="J49" s="67"/>
      <c r="K49" s="67"/>
      <c r="L49" s="67"/>
      <c r="M49" s="67"/>
      <c r="N49" s="67"/>
      <c r="O49" s="66"/>
      <c r="P49" s="67"/>
    </row>
    <row r="50" spans="2:16" ht="21.95" customHeight="1" x14ac:dyDescent="0.2">
      <c r="B50" s="65"/>
      <c r="C50" s="66"/>
      <c r="D50" s="67"/>
      <c r="E50" s="67"/>
      <c r="F50" s="67"/>
      <c r="G50" s="67"/>
      <c r="H50" s="67"/>
      <c r="I50" s="66"/>
      <c r="J50" s="67"/>
      <c r="K50" s="67"/>
      <c r="L50" s="67"/>
      <c r="M50" s="67"/>
      <c r="N50" s="67"/>
      <c r="O50" s="66"/>
      <c r="P50" s="67"/>
    </row>
    <row r="51" spans="2:16" ht="21.95" customHeight="1" x14ac:dyDescent="0.2">
      <c r="B51" s="65"/>
      <c r="C51" s="66"/>
      <c r="D51" s="67"/>
      <c r="E51" s="67"/>
      <c r="F51" s="67"/>
      <c r="G51" s="67"/>
      <c r="H51" s="70"/>
      <c r="I51" s="66"/>
      <c r="J51" s="67"/>
      <c r="K51" s="67"/>
      <c r="L51" s="67"/>
      <c r="M51" s="67"/>
      <c r="N51" s="70"/>
      <c r="O51" s="66"/>
      <c r="P51" s="67"/>
    </row>
    <row r="52" spans="2:16" ht="21.95" customHeight="1" x14ac:dyDescent="0.25">
      <c r="B52" s="71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72"/>
      <c r="P52" s="72"/>
    </row>
    <row r="53" spans="2:16" x14ac:dyDescent="0.2">
      <c r="B53" s="73"/>
      <c r="C53" s="19"/>
      <c r="D53" s="19"/>
      <c r="E53" s="19"/>
      <c r="F53" s="19"/>
      <c r="G53" s="19"/>
      <c r="H53" s="19"/>
      <c r="I53" s="74"/>
      <c r="J53" s="74"/>
      <c r="K53" s="74"/>
      <c r="L53" s="74"/>
      <c r="M53" s="74"/>
      <c r="N53" s="74"/>
      <c r="O53" s="11"/>
      <c r="P53" s="75"/>
    </row>
    <row r="54" spans="2:16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2:16" x14ac:dyDescent="0.2">
      <c r="B55" s="5"/>
      <c r="C55" s="3"/>
      <c r="D55" s="3"/>
      <c r="E55" s="3"/>
      <c r="F55" s="3"/>
      <c r="G55" s="3"/>
      <c r="H55" s="3"/>
      <c r="I55" s="2"/>
      <c r="J55" s="2"/>
      <c r="K55" s="2"/>
      <c r="L55" s="2"/>
      <c r="M55" s="2"/>
      <c r="N55" s="2"/>
      <c r="O55" s="2"/>
      <c r="P55" s="2"/>
    </row>
    <row r="56" spans="2:16" x14ac:dyDescent="0.2">
      <c r="B56" s="2"/>
      <c r="C56" s="4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x14ac:dyDescent="0.2">
      <c r="B57" s="2"/>
      <c r="C57" s="4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2:16" x14ac:dyDescent="0.2">
      <c r="B58" s="57"/>
      <c r="C58" s="57"/>
      <c r="D58" s="57"/>
      <c r="F58" s="2"/>
      <c r="G58" s="2"/>
      <c r="H58" s="2"/>
      <c r="I58" s="2"/>
      <c r="J58" s="2"/>
      <c r="K58" s="2"/>
      <c r="L58" s="2"/>
      <c r="M58" s="2"/>
      <c r="N58" s="2"/>
      <c r="O58" s="44"/>
      <c r="P58" s="2"/>
    </row>
    <row r="59" spans="2:16" x14ac:dyDescent="0.2">
      <c r="C59" s="4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P59" s="44"/>
    </row>
    <row r="60" spans="2:16" x14ac:dyDescent="0.2">
      <c r="C60" s="4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P60" s="44"/>
    </row>
    <row r="61" spans="2:16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16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2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2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2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</sheetData>
  <mergeCells count="12">
    <mergeCell ref="B3:P3"/>
    <mergeCell ref="B4:P4"/>
    <mergeCell ref="B5:P5"/>
    <mergeCell ref="C7:O7"/>
    <mergeCell ref="C8:G8"/>
    <mergeCell ref="I8:M8"/>
    <mergeCell ref="B33:P33"/>
    <mergeCell ref="B34:P34"/>
    <mergeCell ref="B35:P35"/>
    <mergeCell ref="C37:O37"/>
    <mergeCell ref="C38:G38"/>
    <mergeCell ref="I38:M38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51"/>
  <sheetViews>
    <sheetView zoomScale="80" zoomScaleNormal="80" workbookViewId="0">
      <selection activeCell="F7" sqref="F7"/>
    </sheetView>
  </sheetViews>
  <sheetFormatPr baseColWidth="10" defaultColWidth="10.42578125" defaultRowHeight="9" x14ac:dyDescent="0.2"/>
  <cols>
    <col min="1" max="1" width="7.28515625" style="188" customWidth="1"/>
    <col min="2" max="2" width="14.140625" style="186" customWidth="1"/>
    <col min="3" max="3" width="9.85546875" style="186" customWidth="1"/>
    <col min="4" max="4" width="28.7109375" style="186" customWidth="1"/>
    <col min="5" max="5" width="6.85546875" style="186" customWidth="1"/>
    <col min="6" max="6" width="11.28515625" style="186" customWidth="1"/>
    <col min="7" max="7" width="9.5703125" style="186" customWidth="1"/>
    <col min="8" max="8" width="10.42578125" style="186" customWidth="1"/>
    <col min="9" max="9" width="12.28515625" style="186" customWidth="1"/>
    <col min="10" max="10" width="13.42578125" style="186" customWidth="1"/>
    <col min="11" max="11" width="10.42578125" style="186" customWidth="1"/>
    <col min="12" max="12" width="10.5703125" style="186" customWidth="1"/>
    <col min="13" max="13" width="10.28515625" style="186" customWidth="1"/>
    <col min="14" max="14" width="12.7109375" style="186" customWidth="1"/>
    <col min="15" max="15" width="23.5703125" style="186" customWidth="1"/>
    <col min="16" max="16" width="17.42578125" style="348" customWidth="1"/>
    <col min="17" max="17" width="18.140625" style="186" customWidth="1"/>
    <col min="18" max="18" width="12.5703125" style="186" customWidth="1"/>
    <col min="19" max="16384" width="10.42578125" style="186"/>
  </cols>
  <sheetData>
    <row r="1" spans="1:18" x14ac:dyDescent="0.2">
      <c r="P1" s="341" t="s">
        <v>153</v>
      </c>
    </row>
    <row r="2" spans="1:18" hidden="1" x14ac:dyDescent="0.2">
      <c r="A2" s="558" t="s">
        <v>547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342"/>
    </row>
    <row r="3" spans="1:18" hidden="1" x14ac:dyDescent="0.2"/>
    <row r="4" spans="1:18" hidden="1" x14ac:dyDescent="0.2">
      <c r="A4" s="186"/>
      <c r="P4" s="343"/>
      <c r="Q4" s="185"/>
    </row>
    <row r="5" spans="1:18" ht="50.25" thickBot="1" x14ac:dyDescent="0.3">
      <c r="A5" s="301" t="s">
        <v>11</v>
      </c>
      <c r="B5" s="302" t="s">
        <v>82</v>
      </c>
      <c r="C5" s="303" t="s">
        <v>138</v>
      </c>
      <c r="D5" s="304" t="s">
        <v>83</v>
      </c>
      <c r="E5" s="305" t="s">
        <v>84</v>
      </c>
      <c r="F5" s="305" t="s">
        <v>197</v>
      </c>
      <c r="G5" s="304" t="s">
        <v>24</v>
      </c>
      <c r="H5" s="301" t="s">
        <v>206</v>
      </c>
      <c r="I5" s="305" t="s">
        <v>85</v>
      </c>
      <c r="J5" s="305" t="s">
        <v>86</v>
      </c>
      <c r="K5" s="305" t="s">
        <v>87</v>
      </c>
      <c r="L5" s="305" t="s">
        <v>88</v>
      </c>
      <c r="M5" s="306" t="s">
        <v>198</v>
      </c>
      <c r="N5" s="307" t="s">
        <v>207</v>
      </c>
      <c r="O5" s="308" t="s">
        <v>89</v>
      </c>
      <c r="P5" s="344" t="s">
        <v>23</v>
      </c>
      <c r="Q5" s="301" t="s">
        <v>139</v>
      </c>
      <c r="R5" s="309" t="s">
        <v>90</v>
      </c>
    </row>
    <row r="6" spans="1:18" s="409" customFormat="1" ht="39.75" customHeight="1" x14ac:dyDescent="0.2">
      <c r="A6" s="433">
        <v>1</v>
      </c>
      <c r="B6" s="434" t="s">
        <v>385</v>
      </c>
      <c r="C6" s="435" t="s">
        <v>423</v>
      </c>
      <c r="D6" s="436" t="s">
        <v>461</v>
      </c>
      <c r="E6" s="437">
        <v>56</v>
      </c>
      <c r="F6" s="437" t="s">
        <v>230</v>
      </c>
      <c r="G6" s="437" t="s">
        <v>32</v>
      </c>
      <c r="H6" s="437">
        <v>2</v>
      </c>
      <c r="I6" s="438">
        <v>3428.57</v>
      </c>
      <c r="J6" s="438">
        <v>5714.29</v>
      </c>
      <c r="K6" s="439">
        <v>0</v>
      </c>
      <c r="L6" s="438">
        <v>1142.8599999999999</v>
      </c>
      <c r="M6" s="439">
        <v>0</v>
      </c>
      <c r="N6" s="440">
        <v>44326</v>
      </c>
      <c r="O6" s="441" t="s">
        <v>500</v>
      </c>
      <c r="P6" s="442" t="s">
        <v>91</v>
      </c>
      <c r="Q6" s="442" t="s">
        <v>46</v>
      </c>
      <c r="R6" s="443">
        <v>44348</v>
      </c>
    </row>
    <row r="7" spans="1:18" ht="24" x14ac:dyDescent="0.2">
      <c r="A7" s="444">
        <v>2</v>
      </c>
      <c r="B7" s="434" t="s">
        <v>386</v>
      </c>
      <c r="C7" s="445" t="s">
        <v>424</v>
      </c>
      <c r="D7" s="446" t="s">
        <v>462</v>
      </c>
      <c r="E7" s="444">
        <v>72</v>
      </c>
      <c r="F7" s="444" t="s">
        <v>235</v>
      </c>
      <c r="G7" s="444" t="s">
        <v>32</v>
      </c>
      <c r="H7" s="444">
        <v>6</v>
      </c>
      <c r="I7" s="447">
        <v>3428.57</v>
      </c>
      <c r="J7" s="447">
        <v>2285.71</v>
      </c>
      <c r="K7" s="448">
        <v>0</v>
      </c>
      <c r="L7" s="447">
        <v>0</v>
      </c>
      <c r="M7" s="448">
        <v>0</v>
      </c>
      <c r="N7" s="449">
        <v>44267</v>
      </c>
      <c r="O7" s="450" t="s">
        <v>501</v>
      </c>
      <c r="P7" s="451" t="s">
        <v>91</v>
      </c>
      <c r="Q7" s="451" t="s">
        <v>92</v>
      </c>
      <c r="R7" s="452">
        <v>44349</v>
      </c>
    </row>
    <row r="8" spans="1:18" ht="24" x14ac:dyDescent="0.2">
      <c r="A8" s="444">
        <v>3</v>
      </c>
      <c r="B8" s="434" t="s">
        <v>387</v>
      </c>
      <c r="C8" s="445" t="s">
        <v>425</v>
      </c>
      <c r="D8" s="446" t="s">
        <v>463</v>
      </c>
      <c r="E8" s="444">
        <v>91</v>
      </c>
      <c r="F8" s="444" t="s">
        <v>230</v>
      </c>
      <c r="G8" s="444" t="s">
        <v>37</v>
      </c>
      <c r="H8" s="444">
        <v>1</v>
      </c>
      <c r="I8" s="447">
        <v>0</v>
      </c>
      <c r="J8" s="447">
        <v>3428.57</v>
      </c>
      <c r="K8" s="448">
        <v>0</v>
      </c>
      <c r="L8" s="447">
        <v>0</v>
      </c>
      <c r="M8" s="448">
        <v>0</v>
      </c>
      <c r="N8" s="449">
        <v>44343</v>
      </c>
      <c r="O8" s="450" t="s">
        <v>502</v>
      </c>
      <c r="P8" s="451" t="s">
        <v>91</v>
      </c>
      <c r="Q8" s="451" t="s">
        <v>92</v>
      </c>
      <c r="R8" s="452">
        <v>44349</v>
      </c>
    </row>
    <row r="9" spans="1:18" ht="30" customHeight="1" x14ac:dyDescent="0.2">
      <c r="A9" s="444">
        <v>4</v>
      </c>
      <c r="B9" s="434" t="s">
        <v>388</v>
      </c>
      <c r="C9" s="453" t="s">
        <v>426</v>
      </c>
      <c r="D9" s="446" t="s">
        <v>464</v>
      </c>
      <c r="E9" s="444">
        <v>69</v>
      </c>
      <c r="F9" s="444" t="s">
        <v>230</v>
      </c>
      <c r="G9" s="444" t="s">
        <v>37</v>
      </c>
      <c r="H9" s="444">
        <v>3</v>
      </c>
      <c r="I9" s="447">
        <v>0</v>
      </c>
      <c r="J9" s="447">
        <v>5714.29</v>
      </c>
      <c r="K9" s="448">
        <v>0</v>
      </c>
      <c r="L9" s="447">
        <v>1142.8599999999999</v>
      </c>
      <c r="M9" s="448">
        <v>0</v>
      </c>
      <c r="N9" s="454">
        <v>44338</v>
      </c>
      <c r="O9" s="455" t="s">
        <v>503</v>
      </c>
      <c r="P9" s="451" t="s">
        <v>536</v>
      </c>
      <c r="Q9" s="451" t="s">
        <v>92</v>
      </c>
      <c r="R9" s="452">
        <v>44349</v>
      </c>
    </row>
    <row r="10" spans="1:18" ht="27.75" x14ac:dyDescent="0.2">
      <c r="A10" s="444">
        <v>5</v>
      </c>
      <c r="B10" s="434" t="s">
        <v>389</v>
      </c>
      <c r="C10" s="453" t="s">
        <v>427</v>
      </c>
      <c r="D10" s="446" t="s">
        <v>465</v>
      </c>
      <c r="E10" s="444">
        <v>70</v>
      </c>
      <c r="F10" s="444" t="s">
        <v>235</v>
      </c>
      <c r="G10" s="444" t="s">
        <v>40</v>
      </c>
      <c r="H10" s="444">
        <v>1</v>
      </c>
      <c r="I10" s="447">
        <v>0</v>
      </c>
      <c r="J10" s="447">
        <v>2285.71</v>
      </c>
      <c r="K10" s="448">
        <v>0</v>
      </c>
      <c r="L10" s="447">
        <v>0</v>
      </c>
      <c r="M10" s="448">
        <v>0</v>
      </c>
      <c r="N10" s="449">
        <v>44325</v>
      </c>
      <c r="O10" s="450" t="s">
        <v>504</v>
      </c>
      <c r="P10" s="451" t="s">
        <v>91</v>
      </c>
      <c r="Q10" s="451" t="s">
        <v>369</v>
      </c>
      <c r="R10" s="452">
        <v>44350</v>
      </c>
    </row>
    <row r="11" spans="1:18" s="409" customFormat="1" ht="24" x14ac:dyDescent="0.2">
      <c r="A11" s="444">
        <v>6</v>
      </c>
      <c r="B11" s="434" t="s">
        <v>390</v>
      </c>
      <c r="C11" s="453" t="s">
        <v>428</v>
      </c>
      <c r="D11" s="446" t="s">
        <v>466</v>
      </c>
      <c r="E11" s="444">
        <v>65</v>
      </c>
      <c r="F11" s="444" t="s">
        <v>230</v>
      </c>
      <c r="G11" s="444" t="s">
        <v>37</v>
      </c>
      <c r="H11" s="444">
        <v>4</v>
      </c>
      <c r="I11" s="447">
        <v>0</v>
      </c>
      <c r="J11" s="447">
        <v>11428.57</v>
      </c>
      <c r="K11" s="448">
        <v>0</v>
      </c>
      <c r="L11" s="447">
        <v>1142.8599999999999</v>
      </c>
      <c r="M11" s="448">
        <v>0</v>
      </c>
      <c r="N11" s="449">
        <v>44288</v>
      </c>
      <c r="O11" s="455" t="s">
        <v>505</v>
      </c>
      <c r="P11" s="451" t="s">
        <v>91</v>
      </c>
      <c r="Q11" s="456" t="s">
        <v>39</v>
      </c>
      <c r="R11" s="452">
        <v>44351</v>
      </c>
    </row>
    <row r="12" spans="1:18" s="409" customFormat="1" ht="45" x14ac:dyDescent="0.2">
      <c r="A12" s="444">
        <v>7</v>
      </c>
      <c r="B12" s="434" t="s">
        <v>391</v>
      </c>
      <c r="C12" s="453" t="s">
        <v>429</v>
      </c>
      <c r="D12" s="446" t="s">
        <v>467</v>
      </c>
      <c r="E12" s="444">
        <v>61</v>
      </c>
      <c r="F12" s="444" t="s">
        <v>230</v>
      </c>
      <c r="G12" s="444" t="s">
        <v>42</v>
      </c>
      <c r="H12" s="444">
        <v>2</v>
      </c>
      <c r="I12" s="447">
        <v>0</v>
      </c>
      <c r="J12" s="447">
        <v>0</v>
      </c>
      <c r="K12" s="448">
        <v>1142.8599999999999</v>
      </c>
      <c r="L12" s="447">
        <v>1142.8599999999999</v>
      </c>
      <c r="M12" s="448">
        <v>0</v>
      </c>
      <c r="N12" s="449">
        <v>44341</v>
      </c>
      <c r="O12" s="455" t="s">
        <v>506</v>
      </c>
      <c r="P12" s="451" t="s">
        <v>91</v>
      </c>
      <c r="Q12" s="451" t="s">
        <v>92</v>
      </c>
      <c r="R12" s="452">
        <v>44354</v>
      </c>
    </row>
    <row r="13" spans="1:18" ht="27" x14ac:dyDescent="0.2">
      <c r="A13" s="444">
        <v>8</v>
      </c>
      <c r="B13" s="434" t="s">
        <v>392</v>
      </c>
      <c r="C13" s="453" t="s">
        <v>430</v>
      </c>
      <c r="D13" s="446" t="s">
        <v>468</v>
      </c>
      <c r="E13" s="444">
        <v>57</v>
      </c>
      <c r="F13" s="444" t="s">
        <v>230</v>
      </c>
      <c r="G13" s="444" t="s">
        <v>32</v>
      </c>
      <c r="H13" s="444">
        <v>2</v>
      </c>
      <c r="I13" s="447">
        <v>3428.57</v>
      </c>
      <c r="J13" s="447">
        <v>11428.57</v>
      </c>
      <c r="K13" s="448">
        <v>0</v>
      </c>
      <c r="L13" s="447">
        <v>1142.8599999999999</v>
      </c>
      <c r="M13" s="448">
        <v>0</v>
      </c>
      <c r="N13" s="449">
        <v>43995</v>
      </c>
      <c r="O13" s="455" t="s">
        <v>507</v>
      </c>
      <c r="P13" s="451" t="s">
        <v>31</v>
      </c>
      <c r="Q13" s="451" t="s">
        <v>92</v>
      </c>
      <c r="R13" s="452">
        <v>44355</v>
      </c>
    </row>
    <row r="14" spans="1:18" ht="24" x14ac:dyDescent="0.2">
      <c r="A14" s="444">
        <v>9</v>
      </c>
      <c r="B14" s="434" t="s">
        <v>393</v>
      </c>
      <c r="C14" s="453" t="s">
        <v>431</v>
      </c>
      <c r="D14" s="446" t="s">
        <v>469</v>
      </c>
      <c r="E14" s="444">
        <v>72</v>
      </c>
      <c r="F14" s="444" t="s">
        <v>235</v>
      </c>
      <c r="G14" s="444" t="s">
        <v>32</v>
      </c>
      <c r="H14" s="444">
        <v>1</v>
      </c>
      <c r="I14" s="447">
        <v>3428.57</v>
      </c>
      <c r="J14" s="447">
        <v>0</v>
      </c>
      <c r="K14" s="448">
        <v>0</v>
      </c>
      <c r="L14" s="447">
        <v>0</v>
      </c>
      <c r="M14" s="448">
        <v>0</v>
      </c>
      <c r="N14" s="449">
        <v>44284</v>
      </c>
      <c r="O14" s="450" t="s">
        <v>508</v>
      </c>
      <c r="P14" s="451" t="s">
        <v>50</v>
      </c>
      <c r="Q14" s="451" t="s">
        <v>50</v>
      </c>
      <c r="R14" s="452">
        <v>44355</v>
      </c>
    </row>
    <row r="15" spans="1:18" s="409" customFormat="1" ht="27" x14ac:dyDescent="0.2">
      <c r="A15" s="444">
        <v>10</v>
      </c>
      <c r="B15" s="434" t="s">
        <v>394</v>
      </c>
      <c r="C15" s="453" t="s">
        <v>432</v>
      </c>
      <c r="D15" s="446" t="s">
        <v>470</v>
      </c>
      <c r="E15" s="444">
        <v>47</v>
      </c>
      <c r="F15" s="444" t="s">
        <v>235</v>
      </c>
      <c r="G15" s="444" t="s">
        <v>32</v>
      </c>
      <c r="H15" s="444">
        <v>3</v>
      </c>
      <c r="I15" s="447">
        <v>3428.57</v>
      </c>
      <c r="J15" s="447">
        <v>0</v>
      </c>
      <c r="K15" s="448">
        <v>0</v>
      </c>
      <c r="L15" s="447">
        <v>0</v>
      </c>
      <c r="M15" s="448">
        <v>0</v>
      </c>
      <c r="N15" s="449">
        <v>44299</v>
      </c>
      <c r="O15" s="455" t="s">
        <v>509</v>
      </c>
      <c r="P15" s="451" t="s">
        <v>91</v>
      </c>
      <c r="Q15" s="451" t="s">
        <v>92</v>
      </c>
      <c r="R15" s="452">
        <v>44356</v>
      </c>
    </row>
    <row r="16" spans="1:18" s="409" customFormat="1" ht="44.25" customHeight="1" x14ac:dyDescent="0.2">
      <c r="A16" s="444">
        <v>11</v>
      </c>
      <c r="B16" s="434" t="s">
        <v>395</v>
      </c>
      <c r="C16" s="453" t="s">
        <v>433</v>
      </c>
      <c r="D16" s="446" t="s">
        <v>471</v>
      </c>
      <c r="E16" s="444">
        <v>75</v>
      </c>
      <c r="F16" s="444" t="s">
        <v>230</v>
      </c>
      <c r="G16" s="457" t="s">
        <v>499</v>
      </c>
      <c r="H16" s="444">
        <v>3</v>
      </c>
      <c r="I16" s="447">
        <v>0</v>
      </c>
      <c r="J16" s="447">
        <v>3428.57</v>
      </c>
      <c r="K16" s="448">
        <v>0</v>
      </c>
      <c r="L16" s="447">
        <v>0</v>
      </c>
      <c r="M16" s="448">
        <v>0</v>
      </c>
      <c r="N16" s="449">
        <v>44333</v>
      </c>
      <c r="O16" s="455" t="s">
        <v>510</v>
      </c>
      <c r="P16" s="451" t="s">
        <v>31</v>
      </c>
      <c r="Q16" s="456" t="s">
        <v>31</v>
      </c>
      <c r="R16" s="452">
        <v>44357</v>
      </c>
    </row>
    <row r="17" spans="1:18" s="409" customFormat="1" ht="24" x14ac:dyDescent="0.2">
      <c r="A17" s="444">
        <v>12</v>
      </c>
      <c r="B17" s="434" t="s">
        <v>396</v>
      </c>
      <c r="C17" s="453" t="s">
        <v>434</v>
      </c>
      <c r="D17" s="446" t="s">
        <v>472</v>
      </c>
      <c r="E17" s="444">
        <v>57</v>
      </c>
      <c r="F17" s="444" t="s">
        <v>230</v>
      </c>
      <c r="G17" s="444" t="s">
        <v>32</v>
      </c>
      <c r="H17" s="444">
        <v>3</v>
      </c>
      <c r="I17" s="447">
        <v>3428.57</v>
      </c>
      <c r="J17" s="447">
        <v>0</v>
      </c>
      <c r="K17" s="448">
        <v>0</v>
      </c>
      <c r="L17" s="447">
        <v>0</v>
      </c>
      <c r="M17" s="448">
        <v>0</v>
      </c>
      <c r="N17" s="449">
        <v>44010</v>
      </c>
      <c r="O17" s="450" t="s">
        <v>511</v>
      </c>
      <c r="P17" s="451" t="s">
        <v>537</v>
      </c>
      <c r="Q17" s="451" t="s">
        <v>92</v>
      </c>
      <c r="R17" s="452">
        <v>44358</v>
      </c>
    </row>
    <row r="18" spans="1:18" ht="24" x14ac:dyDescent="0.2">
      <c r="A18" s="444">
        <v>13</v>
      </c>
      <c r="B18" s="434" t="s">
        <v>397</v>
      </c>
      <c r="C18" s="453" t="s">
        <v>435</v>
      </c>
      <c r="D18" s="446" t="s">
        <v>473</v>
      </c>
      <c r="E18" s="444">
        <v>47</v>
      </c>
      <c r="F18" s="444" t="s">
        <v>230</v>
      </c>
      <c r="G18" s="444" t="s">
        <v>32</v>
      </c>
      <c r="H18" s="444">
        <v>2</v>
      </c>
      <c r="I18" s="447">
        <v>3428.57</v>
      </c>
      <c r="J18" s="447">
        <v>11428.57</v>
      </c>
      <c r="K18" s="448">
        <v>0</v>
      </c>
      <c r="L18" s="447">
        <v>1142.8599999999999</v>
      </c>
      <c r="M18" s="448">
        <v>0</v>
      </c>
      <c r="N18" s="449">
        <v>44338</v>
      </c>
      <c r="O18" s="450" t="s">
        <v>512</v>
      </c>
      <c r="P18" s="458" t="s">
        <v>538</v>
      </c>
      <c r="Q18" s="458" t="s">
        <v>200</v>
      </c>
      <c r="R18" s="452">
        <v>44363</v>
      </c>
    </row>
    <row r="19" spans="1:18" s="409" customFormat="1" ht="24" x14ac:dyDescent="0.2">
      <c r="A19" s="444">
        <v>14</v>
      </c>
      <c r="B19" s="434" t="s">
        <v>398</v>
      </c>
      <c r="C19" s="445" t="s">
        <v>436</v>
      </c>
      <c r="D19" s="459" t="s">
        <v>474</v>
      </c>
      <c r="E19" s="444">
        <v>61</v>
      </c>
      <c r="F19" s="444" t="s">
        <v>230</v>
      </c>
      <c r="G19" s="444" t="s">
        <v>37</v>
      </c>
      <c r="H19" s="444">
        <v>4</v>
      </c>
      <c r="I19" s="447">
        <v>0</v>
      </c>
      <c r="J19" s="447">
        <v>11428.57</v>
      </c>
      <c r="K19" s="448">
        <v>0</v>
      </c>
      <c r="L19" s="447">
        <v>1142.8599999999999</v>
      </c>
      <c r="M19" s="448">
        <v>0</v>
      </c>
      <c r="N19" s="449">
        <v>44345</v>
      </c>
      <c r="O19" s="450" t="s">
        <v>513</v>
      </c>
      <c r="P19" s="458" t="s">
        <v>539</v>
      </c>
      <c r="Q19" s="451" t="s">
        <v>51</v>
      </c>
      <c r="R19" s="452">
        <v>44363</v>
      </c>
    </row>
    <row r="20" spans="1:18" ht="24" x14ac:dyDescent="0.2">
      <c r="A20" s="444">
        <v>15</v>
      </c>
      <c r="B20" s="434" t="s">
        <v>399</v>
      </c>
      <c r="C20" s="453" t="s">
        <v>437</v>
      </c>
      <c r="D20" s="446" t="s">
        <v>475</v>
      </c>
      <c r="E20" s="444">
        <v>64</v>
      </c>
      <c r="F20" s="444" t="s">
        <v>235</v>
      </c>
      <c r="G20" s="444" t="s">
        <v>34</v>
      </c>
      <c r="H20" s="444">
        <v>1</v>
      </c>
      <c r="I20" s="447">
        <v>3428.57</v>
      </c>
      <c r="J20" s="447">
        <v>3428.57</v>
      </c>
      <c r="K20" s="448">
        <v>0</v>
      </c>
      <c r="L20" s="447">
        <v>1142.8599999999999</v>
      </c>
      <c r="M20" s="448">
        <v>0</v>
      </c>
      <c r="N20" s="449">
        <v>44339</v>
      </c>
      <c r="O20" s="450" t="s">
        <v>514</v>
      </c>
      <c r="P20" s="451" t="s">
        <v>51</v>
      </c>
      <c r="Q20" s="451" t="s">
        <v>51</v>
      </c>
      <c r="R20" s="452">
        <v>44363</v>
      </c>
    </row>
    <row r="21" spans="1:18" ht="54" x14ac:dyDescent="0.2">
      <c r="A21" s="444">
        <v>16</v>
      </c>
      <c r="B21" s="434" t="s">
        <v>400</v>
      </c>
      <c r="C21" s="453" t="s">
        <v>438</v>
      </c>
      <c r="D21" s="446" t="s">
        <v>476</v>
      </c>
      <c r="E21" s="444">
        <v>77</v>
      </c>
      <c r="F21" s="444" t="s">
        <v>235</v>
      </c>
      <c r="G21" s="457" t="s">
        <v>37</v>
      </c>
      <c r="H21" s="444">
        <v>6</v>
      </c>
      <c r="I21" s="447">
        <v>0</v>
      </c>
      <c r="J21" s="447">
        <v>3428.57</v>
      </c>
      <c r="K21" s="448">
        <v>0</v>
      </c>
      <c r="L21" s="447">
        <v>0</v>
      </c>
      <c r="M21" s="448">
        <v>0</v>
      </c>
      <c r="N21" s="449">
        <v>43903</v>
      </c>
      <c r="O21" s="455" t="s">
        <v>515</v>
      </c>
      <c r="P21" s="451" t="s">
        <v>540</v>
      </c>
      <c r="Q21" s="451" t="s">
        <v>92</v>
      </c>
      <c r="R21" s="452">
        <v>44363</v>
      </c>
    </row>
    <row r="22" spans="1:18" s="409" customFormat="1" ht="24" x14ac:dyDescent="0.2">
      <c r="A22" s="444">
        <v>17</v>
      </c>
      <c r="B22" s="434" t="s">
        <v>401</v>
      </c>
      <c r="C22" s="453" t="s">
        <v>439</v>
      </c>
      <c r="D22" s="446" t="s">
        <v>477</v>
      </c>
      <c r="E22" s="444">
        <v>86</v>
      </c>
      <c r="F22" s="444" t="s">
        <v>230</v>
      </c>
      <c r="G22" s="457" t="s">
        <v>37</v>
      </c>
      <c r="H22" s="444">
        <v>5</v>
      </c>
      <c r="I22" s="447">
        <v>0</v>
      </c>
      <c r="J22" s="447">
        <v>3428.57</v>
      </c>
      <c r="K22" s="448">
        <v>0</v>
      </c>
      <c r="L22" s="447">
        <v>0</v>
      </c>
      <c r="M22" s="448">
        <v>0</v>
      </c>
      <c r="N22" s="449">
        <v>44293</v>
      </c>
      <c r="O22" s="455" t="s">
        <v>516</v>
      </c>
      <c r="P22" s="451" t="s">
        <v>541</v>
      </c>
      <c r="Q22" s="451" t="s">
        <v>92</v>
      </c>
      <c r="R22" s="452">
        <v>44363</v>
      </c>
    </row>
    <row r="23" spans="1:18" s="409" customFormat="1" ht="27" x14ac:dyDescent="0.2">
      <c r="A23" s="444">
        <v>18</v>
      </c>
      <c r="B23" s="434" t="s">
        <v>402</v>
      </c>
      <c r="C23" s="453" t="s">
        <v>440</v>
      </c>
      <c r="D23" s="459" t="s">
        <v>478</v>
      </c>
      <c r="E23" s="444">
        <v>72</v>
      </c>
      <c r="F23" s="444" t="s">
        <v>230</v>
      </c>
      <c r="G23" s="457" t="s">
        <v>32</v>
      </c>
      <c r="H23" s="460">
        <v>2</v>
      </c>
      <c r="I23" s="447">
        <v>3428.57</v>
      </c>
      <c r="J23" s="447">
        <v>2285.71</v>
      </c>
      <c r="K23" s="448">
        <v>0</v>
      </c>
      <c r="L23" s="447">
        <v>0</v>
      </c>
      <c r="M23" s="448">
        <v>0</v>
      </c>
      <c r="N23" s="449">
        <v>44294</v>
      </c>
      <c r="O23" s="455" t="s">
        <v>517</v>
      </c>
      <c r="P23" s="451" t="s">
        <v>91</v>
      </c>
      <c r="Q23" s="458" t="s">
        <v>200</v>
      </c>
      <c r="R23" s="452">
        <v>44363</v>
      </c>
    </row>
    <row r="24" spans="1:18" ht="24" x14ac:dyDescent="0.2">
      <c r="A24" s="444">
        <v>19</v>
      </c>
      <c r="B24" s="434" t="s">
        <v>403</v>
      </c>
      <c r="C24" s="453" t="s">
        <v>441</v>
      </c>
      <c r="D24" s="446" t="s">
        <v>479</v>
      </c>
      <c r="E24" s="444">
        <v>96</v>
      </c>
      <c r="F24" s="444" t="s">
        <v>230</v>
      </c>
      <c r="G24" s="457" t="s">
        <v>37</v>
      </c>
      <c r="H24" s="460">
        <v>1</v>
      </c>
      <c r="I24" s="447">
        <v>0</v>
      </c>
      <c r="J24" s="447">
        <v>1142.8599999999999</v>
      </c>
      <c r="K24" s="448">
        <v>0</v>
      </c>
      <c r="L24" s="447">
        <v>0</v>
      </c>
      <c r="M24" s="448">
        <v>0</v>
      </c>
      <c r="N24" s="449">
        <v>44329</v>
      </c>
      <c r="O24" s="455" t="s">
        <v>518</v>
      </c>
      <c r="P24" s="451" t="s">
        <v>540</v>
      </c>
      <c r="Q24" s="458" t="s">
        <v>113</v>
      </c>
      <c r="R24" s="452">
        <v>44363</v>
      </c>
    </row>
    <row r="25" spans="1:18" ht="27" x14ac:dyDescent="0.2">
      <c r="A25" s="444">
        <v>20</v>
      </c>
      <c r="B25" s="434" t="s">
        <v>404</v>
      </c>
      <c r="C25" s="453" t="s">
        <v>442</v>
      </c>
      <c r="D25" s="446" t="s">
        <v>480</v>
      </c>
      <c r="E25" s="444">
        <v>82</v>
      </c>
      <c r="F25" s="444" t="s">
        <v>230</v>
      </c>
      <c r="G25" s="457" t="s">
        <v>37</v>
      </c>
      <c r="H25" s="444">
        <v>1</v>
      </c>
      <c r="I25" s="447">
        <v>0</v>
      </c>
      <c r="J25" s="447">
        <v>3428.57</v>
      </c>
      <c r="K25" s="448">
        <v>0</v>
      </c>
      <c r="L25" s="447">
        <v>0</v>
      </c>
      <c r="M25" s="448">
        <v>0</v>
      </c>
      <c r="N25" s="449">
        <v>44307</v>
      </c>
      <c r="O25" s="455" t="s">
        <v>519</v>
      </c>
      <c r="P25" s="451" t="s">
        <v>91</v>
      </c>
      <c r="Q25" s="451" t="s">
        <v>92</v>
      </c>
      <c r="R25" s="452">
        <v>44363</v>
      </c>
    </row>
    <row r="26" spans="1:18" s="409" customFormat="1" ht="35.25" customHeight="1" x14ac:dyDescent="0.2">
      <c r="A26" s="444">
        <v>21</v>
      </c>
      <c r="B26" s="434" t="s">
        <v>405</v>
      </c>
      <c r="C26" s="453" t="s">
        <v>443</v>
      </c>
      <c r="D26" s="446" t="s">
        <v>481</v>
      </c>
      <c r="E26" s="444">
        <v>64</v>
      </c>
      <c r="F26" s="444" t="s">
        <v>230</v>
      </c>
      <c r="G26" s="444" t="s">
        <v>32</v>
      </c>
      <c r="H26" s="444">
        <v>4</v>
      </c>
      <c r="I26" s="447">
        <v>3428.57</v>
      </c>
      <c r="J26" s="447">
        <v>3428.57</v>
      </c>
      <c r="K26" s="448">
        <v>0</v>
      </c>
      <c r="L26" s="447">
        <v>0</v>
      </c>
      <c r="M26" s="448">
        <v>0</v>
      </c>
      <c r="N26" s="449">
        <v>44004</v>
      </c>
      <c r="O26" s="450" t="s">
        <v>520</v>
      </c>
      <c r="P26" s="451" t="s">
        <v>51</v>
      </c>
      <c r="Q26" s="451" t="s">
        <v>51</v>
      </c>
      <c r="R26" s="452">
        <v>44363</v>
      </c>
    </row>
    <row r="27" spans="1:18" s="409" customFormat="1" ht="24" x14ac:dyDescent="0.2">
      <c r="A27" s="444">
        <v>22</v>
      </c>
      <c r="B27" s="434" t="s">
        <v>406</v>
      </c>
      <c r="C27" s="453" t="s">
        <v>444</v>
      </c>
      <c r="D27" s="446" t="s">
        <v>482</v>
      </c>
      <c r="E27" s="444">
        <v>62</v>
      </c>
      <c r="F27" s="444" t="s">
        <v>235</v>
      </c>
      <c r="G27" s="457" t="s">
        <v>499</v>
      </c>
      <c r="H27" s="444">
        <v>1</v>
      </c>
      <c r="I27" s="447">
        <v>0</v>
      </c>
      <c r="J27" s="447">
        <v>2285.71</v>
      </c>
      <c r="K27" s="448">
        <v>0</v>
      </c>
      <c r="L27" s="447">
        <v>0</v>
      </c>
      <c r="M27" s="448">
        <v>0</v>
      </c>
      <c r="N27" s="449">
        <v>44336</v>
      </c>
      <c r="O27" s="450" t="s">
        <v>521</v>
      </c>
      <c r="P27" s="461" t="s">
        <v>542</v>
      </c>
      <c r="Q27" s="458" t="s">
        <v>36</v>
      </c>
      <c r="R27" s="452">
        <v>44363</v>
      </c>
    </row>
    <row r="28" spans="1:18" ht="63.75" x14ac:dyDescent="0.2">
      <c r="A28" s="444">
        <v>23</v>
      </c>
      <c r="B28" s="434" t="s">
        <v>407</v>
      </c>
      <c r="C28" s="453" t="s">
        <v>445</v>
      </c>
      <c r="D28" s="446" t="s">
        <v>483</v>
      </c>
      <c r="E28" s="444">
        <v>83</v>
      </c>
      <c r="F28" s="444" t="s">
        <v>235</v>
      </c>
      <c r="G28" s="457" t="s">
        <v>37</v>
      </c>
      <c r="H28" s="444">
        <v>1</v>
      </c>
      <c r="I28" s="447">
        <v>0</v>
      </c>
      <c r="J28" s="447">
        <v>3428.57</v>
      </c>
      <c r="K28" s="448">
        <v>0</v>
      </c>
      <c r="L28" s="447">
        <v>0</v>
      </c>
      <c r="M28" s="448">
        <v>0</v>
      </c>
      <c r="N28" s="449">
        <v>44128</v>
      </c>
      <c r="O28" s="450" t="s">
        <v>522</v>
      </c>
      <c r="P28" s="451" t="s">
        <v>91</v>
      </c>
      <c r="Q28" s="451" t="s">
        <v>92</v>
      </c>
      <c r="R28" s="452">
        <v>44365</v>
      </c>
    </row>
    <row r="29" spans="1:18" s="409" customFormat="1" ht="46.5" customHeight="1" x14ac:dyDescent="0.2">
      <c r="A29" s="444">
        <v>24</v>
      </c>
      <c r="B29" s="434" t="s">
        <v>408</v>
      </c>
      <c r="C29" s="453" t="s">
        <v>446</v>
      </c>
      <c r="D29" s="446" t="s">
        <v>484</v>
      </c>
      <c r="E29" s="444">
        <v>58</v>
      </c>
      <c r="F29" s="444" t="s">
        <v>235</v>
      </c>
      <c r="G29" s="444" t="s">
        <v>32</v>
      </c>
      <c r="H29" s="444">
        <v>1</v>
      </c>
      <c r="I29" s="447">
        <v>3428.57</v>
      </c>
      <c r="J29" s="447">
        <v>0</v>
      </c>
      <c r="K29" s="448">
        <v>1142.8599999999999</v>
      </c>
      <c r="L29" s="448">
        <v>1142.8599999999999</v>
      </c>
      <c r="M29" s="448">
        <v>0</v>
      </c>
      <c r="N29" s="449">
        <v>44260</v>
      </c>
      <c r="O29" s="450" t="s">
        <v>523</v>
      </c>
      <c r="P29" s="451" t="s">
        <v>91</v>
      </c>
      <c r="Q29" s="451" t="s">
        <v>92</v>
      </c>
      <c r="R29" s="452">
        <v>44368</v>
      </c>
    </row>
    <row r="30" spans="1:18" s="409" customFormat="1" ht="24" x14ac:dyDescent="0.2">
      <c r="A30" s="444">
        <v>25</v>
      </c>
      <c r="B30" s="434" t="s">
        <v>409</v>
      </c>
      <c r="C30" s="453" t="s">
        <v>447</v>
      </c>
      <c r="D30" s="446" t="s">
        <v>485</v>
      </c>
      <c r="E30" s="444">
        <v>50</v>
      </c>
      <c r="F30" s="444" t="s">
        <v>235</v>
      </c>
      <c r="G30" s="444" t="s">
        <v>32</v>
      </c>
      <c r="H30" s="444">
        <v>3</v>
      </c>
      <c r="I30" s="447">
        <v>3428.57</v>
      </c>
      <c r="J30" s="447">
        <v>30000</v>
      </c>
      <c r="K30" s="448">
        <v>0</v>
      </c>
      <c r="L30" s="448">
        <v>1142.8599999999999</v>
      </c>
      <c r="M30" s="448">
        <v>0</v>
      </c>
      <c r="N30" s="449">
        <v>44272</v>
      </c>
      <c r="O30" s="450" t="s">
        <v>524</v>
      </c>
      <c r="P30" s="451" t="s">
        <v>543</v>
      </c>
      <c r="Q30" s="451" t="s">
        <v>92</v>
      </c>
      <c r="R30" s="452">
        <v>44368</v>
      </c>
    </row>
    <row r="31" spans="1:18" s="409" customFormat="1" ht="24" x14ac:dyDescent="0.2">
      <c r="A31" s="444">
        <v>26</v>
      </c>
      <c r="B31" s="434" t="s">
        <v>410</v>
      </c>
      <c r="C31" s="453" t="s">
        <v>448</v>
      </c>
      <c r="D31" s="446" t="s">
        <v>486</v>
      </c>
      <c r="E31" s="444">
        <v>85</v>
      </c>
      <c r="F31" s="444" t="s">
        <v>230</v>
      </c>
      <c r="G31" s="457" t="s">
        <v>37</v>
      </c>
      <c r="H31" s="444">
        <v>1</v>
      </c>
      <c r="I31" s="447">
        <v>0</v>
      </c>
      <c r="J31" s="447">
        <v>2285.71</v>
      </c>
      <c r="K31" s="448">
        <v>0</v>
      </c>
      <c r="L31" s="447">
        <v>0</v>
      </c>
      <c r="M31" s="448">
        <v>0</v>
      </c>
      <c r="N31" s="449">
        <v>44310</v>
      </c>
      <c r="O31" s="450" t="s">
        <v>525</v>
      </c>
      <c r="P31" s="451" t="s">
        <v>536</v>
      </c>
      <c r="Q31" s="451" t="s">
        <v>92</v>
      </c>
      <c r="R31" s="452">
        <v>44368</v>
      </c>
    </row>
    <row r="32" spans="1:18" s="409" customFormat="1" ht="24" x14ac:dyDescent="0.2">
      <c r="A32" s="444">
        <v>27</v>
      </c>
      <c r="B32" s="434" t="s">
        <v>411</v>
      </c>
      <c r="C32" s="453" t="s">
        <v>449</v>
      </c>
      <c r="D32" s="446" t="s">
        <v>487</v>
      </c>
      <c r="E32" s="444">
        <v>76</v>
      </c>
      <c r="F32" s="444" t="s">
        <v>235</v>
      </c>
      <c r="G32" s="457" t="s">
        <v>37</v>
      </c>
      <c r="H32" s="444">
        <v>2</v>
      </c>
      <c r="I32" s="447">
        <v>0</v>
      </c>
      <c r="J32" s="447">
        <v>3428.57</v>
      </c>
      <c r="K32" s="448">
        <v>0</v>
      </c>
      <c r="L32" s="447">
        <v>0</v>
      </c>
      <c r="M32" s="448">
        <v>0</v>
      </c>
      <c r="N32" s="449">
        <v>44358</v>
      </c>
      <c r="O32" s="450" t="s">
        <v>526</v>
      </c>
      <c r="P32" s="451" t="s">
        <v>536</v>
      </c>
      <c r="Q32" s="451" t="s">
        <v>50</v>
      </c>
      <c r="R32" s="452">
        <v>44369</v>
      </c>
    </row>
    <row r="33" spans="1:18" s="409" customFormat="1" ht="36.75" customHeight="1" x14ac:dyDescent="0.2">
      <c r="A33" s="444">
        <v>28</v>
      </c>
      <c r="B33" s="434" t="s">
        <v>412</v>
      </c>
      <c r="C33" s="453" t="s">
        <v>450</v>
      </c>
      <c r="D33" s="446" t="s">
        <v>488</v>
      </c>
      <c r="E33" s="444">
        <v>82</v>
      </c>
      <c r="F33" s="444" t="s">
        <v>235</v>
      </c>
      <c r="G33" s="457" t="s">
        <v>37</v>
      </c>
      <c r="H33" s="444">
        <v>1</v>
      </c>
      <c r="I33" s="447">
        <v>0</v>
      </c>
      <c r="J33" s="447">
        <v>3428.57</v>
      </c>
      <c r="K33" s="448">
        <v>0</v>
      </c>
      <c r="L33" s="447">
        <v>0</v>
      </c>
      <c r="M33" s="448">
        <v>0</v>
      </c>
      <c r="N33" s="449">
        <v>44351</v>
      </c>
      <c r="O33" s="450" t="s">
        <v>55</v>
      </c>
      <c r="P33" s="451" t="s">
        <v>93</v>
      </c>
      <c r="Q33" s="451" t="s">
        <v>93</v>
      </c>
      <c r="R33" s="452">
        <v>44369</v>
      </c>
    </row>
    <row r="34" spans="1:18" ht="24" x14ac:dyDescent="0.2">
      <c r="A34" s="444">
        <v>29</v>
      </c>
      <c r="B34" s="434" t="s">
        <v>413</v>
      </c>
      <c r="C34" s="453" t="s">
        <v>451</v>
      </c>
      <c r="D34" s="446" t="s">
        <v>489</v>
      </c>
      <c r="E34" s="444">
        <v>76</v>
      </c>
      <c r="F34" s="444" t="s">
        <v>230</v>
      </c>
      <c r="G34" s="457" t="s">
        <v>32</v>
      </c>
      <c r="H34" s="444">
        <v>2</v>
      </c>
      <c r="I34" s="447">
        <v>3428.57</v>
      </c>
      <c r="J34" s="447">
        <v>0</v>
      </c>
      <c r="K34" s="448">
        <v>0</v>
      </c>
      <c r="L34" s="447">
        <v>0</v>
      </c>
      <c r="M34" s="448">
        <v>0</v>
      </c>
      <c r="N34" s="449">
        <v>44334</v>
      </c>
      <c r="O34" s="450" t="s">
        <v>527</v>
      </c>
      <c r="P34" s="451" t="s">
        <v>93</v>
      </c>
      <c r="Q34" s="451" t="s">
        <v>93</v>
      </c>
      <c r="R34" s="452">
        <v>44369</v>
      </c>
    </row>
    <row r="35" spans="1:18" ht="46.5" customHeight="1" x14ac:dyDescent="0.2">
      <c r="A35" s="444">
        <v>30</v>
      </c>
      <c r="B35" s="434" t="s">
        <v>414</v>
      </c>
      <c r="C35" s="453" t="s">
        <v>452</v>
      </c>
      <c r="D35" s="446" t="s">
        <v>490</v>
      </c>
      <c r="E35" s="444">
        <v>57</v>
      </c>
      <c r="F35" s="444" t="s">
        <v>235</v>
      </c>
      <c r="G35" s="457" t="s">
        <v>32</v>
      </c>
      <c r="H35" s="444">
        <v>3</v>
      </c>
      <c r="I35" s="447">
        <v>3428.57</v>
      </c>
      <c r="J35" s="447">
        <v>0</v>
      </c>
      <c r="K35" s="448">
        <v>0</v>
      </c>
      <c r="L35" s="447">
        <v>0</v>
      </c>
      <c r="M35" s="448">
        <v>0</v>
      </c>
      <c r="N35" s="449">
        <v>44309</v>
      </c>
      <c r="O35" s="455" t="s">
        <v>528</v>
      </c>
      <c r="P35" s="451" t="s">
        <v>51</v>
      </c>
      <c r="Q35" s="451" t="s">
        <v>50</v>
      </c>
      <c r="R35" s="452">
        <v>44369</v>
      </c>
    </row>
    <row r="36" spans="1:18" s="409" customFormat="1" ht="27" x14ac:dyDescent="0.2">
      <c r="A36" s="444">
        <v>31</v>
      </c>
      <c r="B36" s="434" t="s">
        <v>415</v>
      </c>
      <c r="C36" s="453" t="s">
        <v>453</v>
      </c>
      <c r="D36" s="446" t="s">
        <v>491</v>
      </c>
      <c r="E36" s="444">
        <v>82</v>
      </c>
      <c r="F36" s="444" t="s">
        <v>235</v>
      </c>
      <c r="G36" s="457" t="s">
        <v>40</v>
      </c>
      <c r="H36" s="444">
        <v>4</v>
      </c>
      <c r="I36" s="447">
        <v>0</v>
      </c>
      <c r="J36" s="447">
        <v>3428.57</v>
      </c>
      <c r="K36" s="448">
        <v>0</v>
      </c>
      <c r="L36" s="447">
        <v>0</v>
      </c>
      <c r="M36" s="448">
        <v>0</v>
      </c>
      <c r="N36" s="449">
        <v>44326</v>
      </c>
      <c r="O36" s="455" t="s">
        <v>529</v>
      </c>
      <c r="P36" s="458" t="s">
        <v>544</v>
      </c>
      <c r="Q36" s="451" t="s">
        <v>92</v>
      </c>
      <c r="R36" s="452">
        <v>44369</v>
      </c>
    </row>
    <row r="37" spans="1:18" s="409" customFormat="1" ht="27" x14ac:dyDescent="0.2">
      <c r="A37" s="444">
        <v>32</v>
      </c>
      <c r="B37" s="434" t="s">
        <v>416</v>
      </c>
      <c r="C37" s="453" t="s">
        <v>454</v>
      </c>
      <c r="D37" s="446" t="s">
        <v>492</v>
      </c>
      <c r="E37" s="444">
        <v>90</v>
      </c>
      <c r="F37" s="444" t="s">
        <v>230</v>
      </c>
      <c r="G37" s="457" t="s">
        <v>37</v>
      </c>
      <c r="H37" s="444">
        <v>2</v>
      </c>
      <c r="I37" s="447">
        <v>0</v>
      </c>
      <c r="J37" s="447">
        <v>3428.57</v>
      </c>
      <c r="K37" s="448">
        <v>0</v>
      </c>
      <c r="L37" s="447">
        <v>0</v>
      </c>
      <c r="M37" s="448">
        <v>0</v>
      </c>
      <c r="N37" s="449">
        <v>44222</v>
      </c>
      <c r="O37" s="455" t="s">
        <v>530</v>
      </c>
      <c r="P37" s="451" t="s">
        <v>91</v>
      </c>
      <c r="Q37" s="451" t="s">
        <v>92</v>
      </c>
      <c r="R37" s="452">
        <v>44370</v>
      </c>
    </row>
    <row r="38" spans="1:18" ht="27" x14ac:dyDescent="0.2">
      <c r="A38" s="444">
        <v>33</v>
      </c>
      <c r="B38" s="434" t="s">
        <v>417</v>
      </c>
      <c r="C38" s="453" t="s">
        <v>455</v>
      </c>
      <c r="D38" s="446" t="s">
        <v>493</v>
      </c>
      <c r="E38" s="444">
        <v>82</v>
      </c>
      <c r="F38" s="444" t="s">
        <v>235</v>
      </c>
      <c r="G38" s="457" t="s">
        <v>37</v>
      </c>
      <c r="H38" s="444">
        <v>4</v>
      </c>
      <c r="I38" s="447">
        <v>0</v>
      </c>
      <c r="J38" s="447">
        <v>3428.57</v>
      </c>
      <c r="K38" s="448">
        <v>0</v>
      </c>
      <c r="L38" s="447">
        <v>0</v>
      </c>
      <c r="M38" s="448">
        <v>0</v>
      </c>
      <c r="N38" s="449">
        <v>43789</v>
      </c>
      <c r="O38" s="455" t="s">
        <v>531</v>
      </c>
      <c r="P38" s="451" t="s">
        <v>91</v>
      </c>
      <c r="Q38" s="451" t="s">
        <v>92</v>
      </c>
      <c r="R38" s="452">
        <v>44371</v>
      </c>
    </row>
    <row r="39" spans="1:18" ht="24" x14ac:dyDescent="0.2">
      <c r="A39" s="444">
        <v>34</v>
      </c>
      <c r="B39" s="434" t="s">
        <v>418</v>
      </c>
      <c r="C39" s="453" t="s">
        <v>456</v>
      </c>
      <c r="D39" s="446" t="s">
        <v>494</v>
      </c>
      <c r="E39" s="444">
        <v>80</v>
      </c>
      <c r="F39" s="444" t="s">
        <v>230</v>
      </c>
      <c r="G39" s="457" t="s">
        <v>37</v>
      </c>
      <c r="H39" s="444">
        <v>2</v>
      </c>
      <c r="I39" s="447">
        <v>0</v>
      </c>
      <c r="J39" s="447">
        <v>2285.71</v>
      </c>
      <c r="K39" s="448">
        <v>0</v>
      </c>
      <c r="L39" s="447">
        <v>0</v>
      </c>
      <c r="M39" s="448">
        <v>0</v>
      </c>
      <c r="N39" s="449">
        <v>44346</v>
      </c>
      <c r="O39" s="450" t="s">
        <v>532</v>
      </c>
      <c r="P39" s="451" t="s">
        <v>91</v>
      </c>
      <c r="Q39" s="461" t="s">
        <v>92</v>
      </c>
      <c r="R39" s="452">
        <v>44371</v>
      </c>
    </row>
    <row r="40" spans="1:18" ht="27" x14ac:dyDescent="0.2">
      <c r="A40" s="444">
        <v>35</v>
      </c>
      <c r="B40" s="434" t="s">
        <v>419</v>
      </c>
      <c r="C40" s="445" t="s">
        <v>457</v>
      </c>
      <c r="D40" s="446" t="s">
        <v>495</v>
      </c>
      <c r="E40" s="444">
        <v>52</v>
      </c>
      <c r="F40" s="444" t="s">
        <v>235</v>
      </c>
      <c r="G40" s="457" t="s">
        <v>32</v>
      </c>
      <c r="H40" s="444">
        <v>3</v>
      </c>
      <c r="I40" s="447">
        <v>3428.57</v>
      </c>
      <c r="J40" s="447">
        <v>0</v>
      </c>
      <c r="K40" s="448">
        <v>0</v>
      </c>
      <c r="L40" s="447">
        <v>0</v>
      </c>
      <c r="M40" s="448">
        <v>0</v>
      </c>
      <c r="N40" s="449">
        <v>44308</v>
      </c>
      <c r="O40" s="455" t="s">
        <v>533</v>
      </c>
      <c r="P40" s="451" t="s">
        <v>91</v>
      </c>
      <c r="Q40" s="451" t="s">
        <v>92</v>
      </c>
      <c r="R40" s="452">
        <v>44375</v>
      </c>
    </row>
    <row r="41" spans="1:18" s="409" customFormat="1" ht="24" x14ac:dyDescent="0.2">
      <c r="A41" s="444">
        <v>36</v>
      </c>
      <c r="B41" s="434" t="s">
        <v>420</v>
      </c>
      <c r="C41" s="453" t="s">
        <v>458</v>
      </c>
      <c r="D41" s="446" t="s">
        <v>496</v>
      </c>
      <c r="E41" s="444">
        <v>82</v>
      </c>
      <c r="F41" s="444" t="s">
        <v>230</v>
      </c>
      <c r="G41" s="457" t="s">
        <v>37</v>
      </c>
      <c r="H41" s="444">
        <v>3</v>
      </c>
      <c r="I41" s="447">
        <v>0</v>
      </c>
      <c r="J41" s="447">
        <v>3428.57</v>
      </c>
      <c r="K41" s="448">
        <v>0</v>
      </c>
      <c r="L41" s="447">
        <v>0</v>
      </c>
      <c r="M41" s="448">
        <v>0</v>
      </c>
      <c r="N41" s="449">
        <v>44338</v>
      </c>
      <c r="O41" s="450" t="s">
        <v>55</v>
      </c>
      <c r="P41" s="458" t="s">
        <v>537</v>
      </c>
      <c r="Q41" s="451" t="s">
        <v>92</v>
      </c>
      <c r="R41" s="452">
        <v>44375</v>
      </c>
    </row>
    <row r="42" spans="1:18" ht="32.25" customHeight="1" x14ac:dyDescent="0.2">
      <c r="A42" s="444">
        <v>37</v>
      </c>
      <c r="B42" s="434" t="s">
        <v>421</v>
      </c>
      <c r="C42" s="453" t="s">
        <v>459</v>
      </c>
      <c r="D42" s="446" t="s">
        <v>497</v>
      </c>
      <c r="E42" s="444">
        <v>56</v>
      </c>
      <c r="F42" s="444" t="s">
        <v>230</v>
      </c>
      <c r="G42" s="444" t="s">
        <v>32</v>
      </c>
      <c r="H42" s="444">
        <v>4</v>
      </c>
      <c r="I42" s="447">
        <v>3428.57</v>
      </c>
      <c r="J42" s="447">
        <v>9142.86</v>
      </c>
      <c r="K42" s="448">
        <v>0</v>
      </c>
      <c r="L42" s="447">
        <v>1142.8599999999999</v>
      </c>
      <c r="M42" s="448">
        <v>0</v>
      </c>
      <c r="N42" s="449">
        <v>44319</v>
      </c>
      <c r="O42" s="455" t="s">
        <v>534</v>
      </c>
      <c r="P42" s="451" t="s">
        <v>91</v>
      </c>
      <c r="Q42" s="451" t="s">
        <v>46</v>
      </c>
      <c r="R42" s="452">
        <v>44375</v>
      </c>
    </row>
    <row r="43" spans="1:18" ht="36" x14ac:dyDescent="0.2">
      <c r="A43" s="444">
        <v>38</v>
      </c>
      <c r="B43" s="434" t="s">
        <v>422</v>
      </c>
      <c r="C43" s="453" t="s">
        <v>460</v>
      </c>
      <c r="D43" s="446" t="s">
        <v>498</v>
      </c>
      <c r="E43" s="444">
        <v>85</v>
      </c>
      <c r="F43" s="444" t="s">
        <v>230</v>
      </c>
      <c r="G43" s="457" t="s">
        <v>37</v>
      </c>
      <c r="H43" s="444">
        <v>3</v>
      </c>
      <c r="I43" s="447">
        <v>0</v>
      </c>
      <c r="J43" s="447">
        <v>3428.57</v>
      </c>
      <c r="K43" s="448">
        <v>0</v>
      </c>
      <c r="L43" s="447">
        <v>0</v>
      </c>
      <c r="M43" s="448">
        <v>0</v>
      </c>
      <c r="N43" s="449">
        <v>44033</v>
      </c>
      <c r="O43" s="455" t="s">
        <v>535</v>
      </c>
      <c r="P43" s="451" t="s">
        <v>91</v>
      </c>
      <c r="Q43" s="451" t="s">
        <v>92</v>
      </c>
      <c r="R43" s="452">
        <v>44376</v>
      </c>
    </row>
    <row r="44" spans="1:18" hidden="1" x14ac:dyDescent="0.15">
      <c r="A44" s="284" t="s">
        <v>159</v>
      </c>
      <c r="B44" s="108"/>
      <c r="C44" s="283" t="s">
        <v>94</v>
      </c>
      <c r="D44" s="283"/>
      <c r="E44" s="283" t="s">
        <v>95</v>
      </c>
      <c r="F44" s="283"/>
      <c r="G44" s="283"/>
      <c r="H44" s="283"/>
      <c r="I44" s="283"/>
      <c r="J44" s="283"/>
      <c r="K44" s="285" t="s">
        <v>11</v>
      </c>
      <c r="L44" s="285"/>
      <c r="M44" s="285"/>
      <c r="N44" s="286"/>
      <c r="O44" s="10"/>
      <c r="P44" s="345"/>
      <c r="Q44" s="282"/>
    </row>
    <row r="45" spans="1:18" hidden="1" x14ac:dyDescent="0.15">
      <c r="A45" s="10"/>
      <c r="B45" s="108"/>
      <c r="C45" s="283" t="s">
        <v>96</v>
      </c>
      <c r="D45" s="283"/>
      <c r="E45" s="283" t="s">
        <v>97</v>
      </c>
      <c r="F45" s="283"/>
      <c r="G45" s="283"/>
      <c r="H45" s="283"/>
      <c r="I45" s="283"/>
      <c r="J45" s="283"/>
      <c r="K45" s="285"/>
      <c r="L45" s="285"/>
      <c r="M45" s="285"/>
      <c r="N45" s="286"/>
      <c r="O45" s="10"/>
      <c r="P45" s="345"/>
      <c r="Q45" s="282"/>
    </row>
    <row r="46" spans="1:18" hidden="1" x14ac:dyDescent="0.2">
      <c r="A46" s="189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5"/>
      <c r="N46" s="185"/>
      <c r="O46" s="187"/>
      <c r="P46" s="346"/>
      <c r="Q46" s="185"/>
    </row>
    <row r="47" spans="1:18" hidden="1" x14ac:dyDescent="0.2">
      <c r="A47" s="190" t="s">
        <v>159</v>
      </c>
      <c r="B47" s="187"/>
      <c r="C47" s="185" t="s">
        <v>94</v>
      </c>
      <c r="D47" s="185"/>
      <c r="E47" s="185" t="s">
        <v>95</v>
      </c>
      <c r="F47" s="185"/>
      <c r="G47" s="185"/>
      <c r="H47" s="185"/>
      <c r="I47" s="185"/>
      <c r="J47" s="185"/>
      <c r="K47" s="185" t="s">
        <v>98</v>
      </c>
      <c r="L47" s="185"/>
      <c r="M47" s="185"/>
      <c r="N47" s="187"/>
      <c r="O47" s="187"/>
      <c r="P47" s="347"/>
      <c r="Q47" s="185"/>
    </row>
    <row r="48" spans="1:18" hidden="1" x14ac:dyDescent="0.2">
      <c r="A48" s="187"/>
      <c r="B48" s="187"/>
      <c r="C48" s="185" t="s">
        <v>96</v>
      </c>
      <c r="D48" s="185"/>
      <c r="E48" s="185" t="s">
        <v>97</v>
      </c>
      <c r="F48" s="185"/>
      <c r="G48" s="185"/>
      <c r="H48" s="185"/>
      <c r="I48" s="185"/>
      <c r="J48" s="185"/>
      <c r="K48" s="185"/>
      <c r="L48" s="185"/>
      <c r="M48" s="185"/>
      <c r="N48" s="187" t="s">
        <v>16</v>
      </c>
      <c r="O48" s="185"/>
      <c r="P48" s="347"/>
      <c r="Q48" s="185"/>
    </row>
    <row r="49" spans="1:17" hidden="1" x14ac:dyDescent="0.2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 t="s">
        <v>546</v>
      </c>
      <c r="P49" s="347"/>
      <c r="Q49" s="185"/>
    </row>
    <row r="50" spans="1:17" hidden="1" x14ac:dyDescent="0.2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 t="s">
        <v>545</v>
      </c>
      <c r="P50" s="347"/>
      <c r="Q50" s="185"/>
    </row>
    <row r="51" spans="1:17" hidden="1" x14ac:dyDescent="0.2">
      <c r="A51" s="187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N51" s="185"/>
      <c r="O51" s="187"/>
      <c r="P51" s="347"/>
      <c r="Q51" s="185"/>
    </row>
  </sheetData>
  <autoFilter ref="F1:F51">
    <filterColumn colId="0">
      <customFilters>
        <customFilter operator="notEqual" val=" "/>
      </customFilters>
    </filterColumn>
  </autoFilter>
  <mergeCells count="1">
    <mergeCell ref="A2:O2"/>
  </mergeCells>
  <phoneticPr fontId="5" type="noConversion"/>
  <pageMargins left="0.70866141732283472" right="0.70866141732283472" top="0.74803149606299213" bottom="0.74803149606299213" header="0.31496062992125984" footer="0.31496062992125984"/>
  <pageSetup paperSiz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28" zoomScale="80" zoomScaleNormal="80" workbookViewId="0">
      <selection activeCell="T6" sqref="T6"/>
    </sheetView>
  </sheetViews>
  <sheetFormatPr baseColWidth="10" defaultRowHeight="12.75" x14ac:dyDescent="0.2"/>
  <sheetData>
    <row r="1" spans="1:18" ht="48.75" thickTop="1" x14ac:dyDescent="0.2">
      <c r="A1" s="410">
        <v>1</v>
      </c>
      <c r="B1" s="411" t="s">
        <v>227</v>
      </c>
      <c r="C1" s="412" t="s">
        <v>228</v>
      </c>
      <c r="D1" s="413" t="s">
        <v>229</v>
      </c>
      <c r="E1" s="387">
        <v>86</v>
      </c>
      <c r="F1" s="387" t="s">
        <v>230</v>
      </c>
      <c r="G1" s="387" t="s">
        <v>37</v>
      </c>
      <c r="H1" s="414">
        <v>1</v>
      </c>
      <c r="I1" s="404">
        <v>0</v>
      </c>
      <c r="J1" s="404">
        <v>3428.57</v>
      </c>
      <c r="K1" s="404">
        <v>0</v>
      </c>
      <c r="L1" s="404">
        <v>0</v>
      </c>
      <c r="M1" s="404">
        <v>0</v>
      </c>
      <c r="N1" s="415">
        <v>42490</v>
      </c>
      <c r="O1" s="398" t="s">
        <v>231</v>
      </c>
      <c r="P1" s="389" t="s">
        <v>93</v>
      </c>
      <c r="Q1" s="416" t="s">
        <v>92</v>
      </c>
      <c r="R1" s="417">
        <v>44166</v>
      </c>
    </row>
    <row r="2" spans="1:18" ht="54" x14ac:dyDescent="0.2">
      <c r="A2" s="385">
        <v>2</v>
      </c>
      <c r="B2" s="418" t="s">
        <v>232</v>
      </c>
      <c r="C2" s="419" t="s">
        <v>233</v>
      </c>
      <c r="D2" s="420" t="s">
        <v>234</v>
      </c>
      <c r="E2" s="385">
        <v>56</v>
      </c>
      <c r="F2" s="385" t="s">
        <v>235</v>
      </c>
      <c r="G2" s="385" t="s">
        <v>32</v>
      </c>
      <c r="H2" s="421">
        <v>1</v>
      </c>
      <c r="I2" s="405">
        <v>3428.57</v>
      </c>
      <c r="J2" s="405">
        <v>0</v>
      </c>
      <c r="K2" s="405">
        <v>0</v>
      </c>
      <c r="L2" s="405">
        <v>0</v>
      </c>
      <c r="M2" s="405">
        <v>0</v>
      </c>
      <c r="N2" s="422">
        <v>44057</v>
      </c>
      <c r="O2" s="399" t="s">
        <v>236</v>
      </c>
      <c r="P2" s="390" t="s">
        <v>91</v>
      </c>
      <c r="Q2" s="393" t="s">
        <v>92</v>
      </c>
      <c r="R2" s="423">
        <v>44166</v>
      </c>
    </row>
    <row r="3" spans="1:18" ht="48" x14ac:dyDescent="0.2">
      <c r="A3" s="385">
        <v>3</v>
      </c>
      <c r="B3" s="418" t="s">
        <v>237</v>
      </c>
      <c r="C3" s="424" t="s">
        <v>238</v>
      </c>
      <c r="D3" s="425" t="s">
        <v>239</v>
      </c>
      <c r="E3" s="385">
        <v>51</v>
      </c>
      <c r="F3" s="385" t="s">
        <v>235</v>
      </c>
      <c r="G3" s="385" t="s">
        <v>32</v>
      </c>
      <c r="H3" s="421">
        <v>1</v>
      </c>
      <c r="I3" s="405">
        <v>3428.57</v>
      </c>
      <c r="J3" s="405">
        <v>8000</v>
      </c>
      <c r="K3" s="405">
        <v>0</v>
      </c>
      <c r="L3" s="405">
        <v>1142.8599999999999</v>
      </c>
      <c r="M3" s="405">
        <v>0</v>
      </c>
      <c r="N3" s="426">
        <v>44311</v>
      </c>
      <c r="O3" s="400" t="s">
        <v>204</v>
      </c>
      <c r="P3" s="390" t="s">
        <v>240</v>
      </c>
      <c r="Q3" s="393" t="s">
        <v>113</v>
      </c>
      <c r="R3" s="423">
        <v>44167</v>
      </c>
    </row>
    <row r="4" spans="1:18" ht="36" x14ac:dyDescent="0.2">
      <c r="A4" s="385">
        <v>4</v>
      </c>
      <c r="B4" s="418" t="s">
        <v>241</v>
      </c>
      <c r="C4" s="419" t="s">
        <v>242</v>
      </c>
      <c r="D4" s="420" t="s">
        <v>243</v>
      </c>
      <c r="E4" s="385">
        <v>60</v>
      </c>
      <c r="F4" s="385" t="s">
        <v>235</v>
      </c>
      <c r="G4" s="385" t="s">
        <v>32</v>
      </c>
      <c r="H4" s="421">
        <v>4</v>
      </c>
      <c r="I4" s="405">
        <v>3428.57</v>
      </c>
      <c r="J4" s="405">
        <v>0</v>
      </c>
      <c r="K4" s="405">
        <v>0</v>
      </c>
      <c r="L4" s="405">
        <v>0</v>
      </c>
      <c r="M4" s="405">
        <v>0</v>
      </c>
      <c r="N4" s="426">
        <v>44279</v>
      </c>
      <c r="O4" s="400" t="s">
        <v>244</v>
      </c>
      <c r="P4" s="390" t="s">
        <v>91</v>
      </c>
      <c r="Q4" s="427" t="s">
        <v>39</v>
      </c>
      <c r="R4" s="423">
        <v>44167</v>
      </c>
    </row>
    <row r="5" spans="1:18" ht="36.75" x14ac:dyDescent="0.2">
      <c r="A5" s="385">
        <v>5</v>
      </c>
      <c r="B5" s="418" t="s">
        <v>245</v>
      </c>
      <c r="C5" s="419" t="s">
        <v>246</v>
      </c>
      <c r="D5" s="428" t="s">
        <v>247</v>
      </c>
      <c r="E5" s="385">
        <v>70</v>
      </c>
      <c r="F5" s="386" t="s">
        <v>235</v>
      </c>
      <c r="G5" s="386" t="s">
        <v>42</v>
      </c>
      <c r="H5" s="429">
        <v>3</v>
      </c>
      <c r="I5" s="406">
        <v>0</v>
      </c>
      <c r="J5" s="406">
        <v>2285.71</v>
      </c>
      <c r="K5" s="406">
        <v>0</v>
      </c>
      <c r="L5" s="406">
        <v>0</v>
      </c>
      <c r="M5" s="406">
        <v>0</v>
      </c>
      <c r="N5" s="426">
        <v>44229</v>
      </c>
      <c r="O5" s="401" t="s">
        <v>248</v>
      </c>
      <c r="P5" s="391" t="s">
        <v>91</v>
      </c>
      <c r="Q5" s="392" t="s">
        <v>50</v>
      </c>
      <c r="R5" s="423">
        <v>44167</v>
      </c>
    </row>
    <row r="6" spans="1:18" ht="90" x14ac:dyDescent="0.2">
      <c r="A6" s="385">
        <v>6</v>
      </c>
      <c r="B6" s="418" t="s">
        <v>249</v>
      </c>
      <c r="C6" s="419" t="s">
        <v>250</v>
      </c>
      <c r="D6" s="420" t="s">
        <v>251</v>
      </c>
      <c r="E6" s="385">
        <v>83</v>
      </c>
      <c r="F6" s="386" t="s">
        <v>230</v>
      </c>
      <c r="G6" s="386" t="s">
        <v>37</v>
      </c>
      <c r="H6" s="429">
        <v>1</v>
      </c>
      <c r="I6" s="406">
        <v>0</v>
      </c>
      <c r="J6" s="406">
        <v>3428.57</v>
      </c>
      <c r="K6" s="406">
        <v>0</v>
      </c>
      <c r="L6" s="406">
        <v>0</v>
      </c>
      <c r="M6" s="406">
        <v>0</v>
      </c>
      <c r="N6" s="426">
        <v>44278</v>
      </c>
      <c r="O6" s="402" t="s">
        <v>252</v>
      </c>
      <c r="P6" s="392" t="s">
        <v>253</v>
      </c>
      <c r="Q6" s="392" t="s">
        <v>92</v>
      </c>
      <c r="R6" s="423">
        <v>44169</v>
      </c>
    </row>
    <row r="7" spans="1:18" ht="54.75" x14ac:dyDescent="0.2">
      <c r="A7" s="385">
        <v>7</v>
      </c>
      <c r="B7" s="418" t="s">
        <v>254</v>
      </c>
      <c r="C7" s="419" t="s">
        <v>255</v>
      </c>
      <c r="D7" s="420" t="s">
        <v>256</v>
      </c>
      <c r="E7" s="385">
        <v>54</v>
      </c>
      <c r="F7" s="386" t="s">
        <v>230</v>
      </c>
      <c r="G7" s="386" t="s">
        <v>32</v>
      </c>
      <c r="H7" s="429">
        <v>1</v>
      </c>
      <c r="I7" s="405">
        <v>3428.57</v>
      </c>
      <c r="J7" s="405">
        <v>0</v>
      </c>
      <c r="K7" s="405">
        <v>0</v>
      </c>
      <c r="L7" s="405">
        <v>0</v>
      </c>
      <c r="M7" s="405">
        <v>0</v>
      </c>
      <c r="N7" s="426">
        <v>43705</v>
      </c>
      <c r="O7" s="400" t="s">
        <v>257</v>
      </c>
      <c r="P7" s="393" t="s">
        <v>93</v>
      </c>
      <c r="Q7" s="390" t="s">
        <v>36</v>
      </c>
      <c r="R7" s="423">
        <v>44169</v>
      </c>
    </row>
    <row r="8" spans="1:18" ht="36" x14ac:dyDescent="0.2">
      <c r="A8" s="385">
        <v>8</v>
      </c>
      <c r="B8" s="418" t="s">
        <v>258</v>
      </c>
      <c r="C8" s="419" t="s">
        <v>259</v>
      </c>
      <c r="D8" s="420" t="s">
        <v>260</v>
      </c>
      <c r="E8" s="385">
        <v>51</v>
      </c>
      <c r="F8" s="386" t="s">
        <v>235</v>
      </c>
      <c r="G8" s="386" t="s">
        <v>32</v>
      </c>
      <c r="H8" s="429">
        <v>3</v>
      </c>
      <c r="I8" s="406">
        <v>3428.57</v>
      </c>
      <c r="J8" s="406">
        <v>0</v>
      </c>
      <c r="K8" s="406">
        <v>0</v>
      </c>
      <c r="L8" s="406">
        <v>0</v>
      </c>
      <c r="M8" s="406">
        <v>0</v>
      </c>
      <c r="N8" s="426">
        <v>44252</v>
      </c>
      <c r="O8" s="402" t="s">
        <v>261</v>
      </c>
      <c r="P8" s="392" t="s">
        <v>262</v>
      </c>
      <c r="Q8" s="392" t="s">
        <v>51</v>
      </c>
      <c r="R8" s="423">
        <v>44169</v>
      </c>
    </row>
    <row r="9" spans="1:18" ht="63" x14ac:dyDescent="0.2">
      <c r="A9" s="385">
        <v>9</v>
      </c>
      <c r="B9" s="418" t="s">
        <v>263</v>
      </c>
      <c r="C9" s="419" t="s">
        <v>264</v>
      </c>
      <c r="D9" s="420" t="s">
        <v>265</v>
      </c>
      <c r="E9" s="385">
        <v>81</v>
      </c>
      <c r="F9" s="386" t="s">
        <v>235</v>
      </c>
      <c r="G9" s="386" t="s">
        <v>32</v>
      </c>
      <c r="H9" s="429">
        <v>1</v>
      </c>
      <c r="I9" s="406">
        <v>3428.57</v>
      </c>
      <c r="J9" s="406">
        <v>0</v>
      </c>
      <c r="K9" s="406">
        <v>0</v>
      </c>
      <c r="L9" s="406">
        <v>0</v>
      </c>
      <c r="M9" s="406">
        <v>0</v>
      </c>
      <c r="N9" s="426">
        <v>44299</v>
      </c>
      <c r="O9" s="402" t="s">
        <v>266</v>
      </c>
      <c r="P9" s="392" t="s">
        <v>91</v>
      </c>
      <c r="Q9" s="392" t="s">
        <v>93</v>
      </c>
      <c r="R9" s="423">
        <v>44169</v>
      </c>
    </row>
    <row r="10" spans="1:18" ht="48" x14ac:dyDescent="0.2">
      <c r="A10" s="385">
        <v>10</v>
      </c>
      <c r="B10" s="418" t="s">
        <v>267</v>
      </c>
      <c r="C10" s="419" t="s">
        <v>268</v>
      </c>
      <c r="D10" s="420" t="s">
        <v>269</v>
      </c>
      <c r="E10" s="385">
        <v>92</v>
      </c>
      <c r="F10" s="386" t="s">
        <v>230</v>
      </c>
      <c r="G10" s="386" t="s">
        <v>37</v>
      </c>
      <c r="H10" s="429">
        <v>7</v>
      </c>
      <c r="I10" s="406">
        <v>0</v>
      </c>
      <c r="J10" s="406">
        <v>3428.57</v>
      </c>
      <c r="K10" s="406">
        <v>0</v>
      </c>
      <c r="L10" s="406">
        <v>0</v>
      </c>
      <c r="M10" s="406">
        <v>0</v>
      </c>
      <c r="N10" s="426">
        <v>44253</v>
      </c>
      <c r="O10" s="402" t="s">
        <v>55</v>
      </c>
      <c r="P10" s="392" t="s">
        <v>50</v>
      </c>
      <c r="Q10" s="392" t="s">
        <v>50</v>
      </c>
      <c r="R10" s="423">
        <v>44169</v>
      </c>
    </row>
    <row r="11" spans="1:18" ht="72" x14ac:dyDescent="0.2">
      <c r="A11" s="385">
        <v>11</v>
      </c>
      <c r="B11" s="418" t="s">
        <v>270</v>
      </c>
      <c r="C11" s="419" t="s">
        <v>271</v>
      </c>
      <c r="D11" s="420" t="s">
        <v>272</v>
      </c>
      <c r="E11" s="385">
        <v>77</v>
      </c>
      <c r="F11" s="386" t="s">
        <v>230</v>
      </c>
      <c r="G11" s="386" t="s">
        <v>40</v>
      </c>
      <c r="H11" s="429">
        <v>5</v>
      </c>
      <c r="I11" s="406">
        <v>0</v>
      </c>
      <c r="J11" s="406">
        <v>3428.57</v>
      </c>
      <c r="K11" s="406">
        <v>0</v>
      </c>
      <c r="L11" s="406">
        <v>0</v>
      </c>
      <c r="M11" s="406">
        <v>0</v>
      </c>
      <c r="N11" s="426">
        <v>44224</v>
      </c>
      <c r="O11" s="402" t="s">
        <v>273</v>
      </c>
      <c r="P11" s="394" t="s">
        <v>274</v>
      </c>
      <c r="Q11" s="392" t="s">
        <v>93</v>
      </c>
      <c r="R11" s="423">
        <v>44169</v>
      </c>
    </row>
    <row r="12" spans="1:18" ht="81" x14ac:dyDescent="0.2">
      <c r="A12" s="385">
        <v>12</v>
      </c>
      <c r="B12" s="418" t="s">
        <v>275</v>
      </c>
      <c r="C12" s="419" t="s">
        <v>276</v>
      </c>
      <c r="D12" s="420" t="s">
        <v>277</v>
      </c>
      <c r="E12" s="385">
        <v>92</v>
      </c>
      <c r="F12" s="386" t="s">
        <v>230</v>
      </c>
      <c r="G12" s="386" t="s">
        <v>37</v>
      </c>
      <c r="H12" s="429">
        <v>1</v>
      </c>
      <c r="I12" s="406">
        <v>0</v>
      </c>
      <c r="J12" s="406">
        <v>1142.8599999999999</v>
      </c>
      <c r="K12" s="406">
        <v>0</v>
      </c>
      <c r="L12" s="406">
        <v>0</v>
      </c>
      <c r="M12" s="406">
        <v>0</v>
      </c>
      <c r="N12" s="426">
        <v>44288</v>
      </c>
      <c r="O12" s="402" t="s">
        <v>278</v>
      </c>
      <c r="P12" s="392" t="s">
        <v>93</v>
      </c>
      <c r="Q12" s="392" t="s">
        <v>93</v>
      </c>
      <c r="R12" s="423">
        <v>44169</v>
      </c>
    </row>
    <row r="13" spans="1:18" ht="108.75" x14ac:dyDescent="0.2">
      <c r="A13" s="385">
        <v>13</v>
      </c>
      <c r="B13" s="418" t="s">
        <v>279</v>
      </c>
      <c r="C13" s="419" t="s">
        <v>280</v>
      </c>
      <c r="D13" s="420" t="s">
        <v>281</v>
      </c>
      <c r="E13" s="385">
        <v>57</v>
      </c>
      <c r="F13" s="385" t="s">
        <v>235</v>
      </c>
      <c r="G13" s="385" t="s">
        <v>32</v>
      </c>
      <c r="H13" s="385">
        <v>1</v>
      </c>
      <c r="I13" s="407">
        <v>3428.57</v>
      </c>
      <c r="J13" s="407">
        <v>0</v>
      </c>
      <c r="K13" s="405">
        <v>0</v>
      </c>
      <c r="L13" s="405">
        <v>0</v>
      </c>
      <c r="M13" s="405">
        <v>0</v>
      </c>
      <c r="N13" s="426">
        <v>44266</v>
      </c>
      <c r="O13" s="400" t="s">
        <v>282</v>
      </c>
      <c r="P13" s="395" t="s">
        <v>91</v>
      </c>
      <c r="Q13" s="395" t="s">
        <v>92</v>
      </c>
      <c r="R13" s="423">
        <v>44169</v>
      </c>
    </row>
    <row r="14" spans="1:18" ht="45.75" x14ac:dyDescent="0.2">
      <c r="A14" s="385">
        <v>14</v>
      </c>
      <c r="B14" s="418" t="s">
        <v>283</v>
      </c>
      <c r="C14" s="419" t="s">
        <v>284</v>
      </c>
      <c r="D14" s="420" t="s">
        <v>285</v>
      </c>
      <c r="E14" s="385">
        <v>79</v>
      </c>
      <c r="F14" s="385" t="s">
        <v>230</v>
      </c>
      <c r="G14" s="385" t="s">
        <v>37</v>
      </c>
      <c r="H14" s="385">
        <v>2</v>
      </c>
      <c r="I14" s="407">
        <v>0</v>
      </c>
      <c r="J14" s="407">
        <v>3428.57</v>
      </c>
      <c r="K14" s="405">
        <v>0</v>
      </c>
      <c r="L14" s="405">
        <v>1142.8599999999999</v>
      </c>
      <c r="M14" s="405">
        <v>0</v>
      </c>
      <c r="N14" s="426">
        <v>44289</v>
      </c>
      <c r="O14" s="400" t="s">
        <v>286</v>
      </c>
      <c r="P14" s="395" t="s">
        <v>91</v>
      </c>
      <c r="Q14" s="395" t="s">
        <v>50</v>
      </c>
      <c r="R14" s="423">
        <v>44169</v>
      </c>
    </row>
    <row r="15" spans="1:18" ht="63.75" x14ac:dyDescent="0.2">
      <c r="A15" s="385">
        <v>15</v>
      </c>
      <c r="B15" s="418" t="s">
        <v>287</v>
      </c>
      <c r="C15" s="419" t="s">
        <v>288</v>
      </c>
      <c r="D15" s="420" t="s">
        <v>289</v>
      </c>
      <c r="E15" s="385">
        <v>87</v>
      </c>
      <c r="F15" s="385" t="s">
        <v>235</v>
      </c>
      <c r="G15" s="385" t="s">
        <v>37</v>
      </c>
      <c r="H15" s="385">
        <v>1</v>
      </c>
      <c r="I15" s="407">
        <v>0</v>
      </c>
      <c r="J15" s="407">
        <v>2285.71</v>
      </c>
      <c r="K15" s="405">
        <v>0</v>
      </c>
      <c r="L15" s="405">
        <v>0</v>
      </c>
      <c r="M15" s="405">
        <v>0</v>
      </c>
      <c r="N15" s="426">
        <v>44221</v>
      </c>
      <c r="O15" s="400" t="s">
        <v>290</v>
      </c>
      <c r="P15" s="395" t="s">
        <v>91</v>
      </c>
      <c r="Q15" s="395" t="s">
        <v>92</v>
      </c>
      <c r="R15" s="423">
        <v>44173</v>
      </c>
    </row>
    <row r="16" spans="1:18" ht="54" x14ac:dyDescent="0.2">
      <c r="A16" s="385">
        <v>16</v>
      </c>
      <c r="B16" s="418" t="s">
        <v>291</v>
      </c>
      <c r="C16" s="419" t="s">
        <v>292</v>
      </c>
      <c r="D16" s="420" t="s">
        <v>293</v>
      </c>
      <c r="E16" s="385">
        <v>53</v>
      </c>
      <c r="F16" s="385" t="s">
        <v>235</v>
      </c>
      <c r="G16" s="385" t="s">
        <v>32</v>
      </c>
      <c r="H16" s="385">
        <v>1</v>
      </c>
      <c r="I16" s="407">
        <v>3428.57</v>
      </c>
      <c r="J16" s="407">
        <v>0</v>
      </c>
      <c r="K16" s="405">
        <v>0</v>
      </c>
      <c r="L16" s="405">
        <v>0</v>
      </c>
      <c r="M16" s="405">
        <v>0</v>
      </c>
      <c r="N16" s="426">
        <v>44311</v>
      </c>
      <c r="O16" s="399" t="s">
        <v>294</v>
      </c>
      <c r="P16" s="395" t="s">
        <v>240</v>
      </c>
      <c r="Q16" s="395" t="s">
        <v>113</v>
      </c>
      <c r="R16" s="423">
        <v>44173</v>
      </c>
    </row>
    <row r="17" spans="1:18" ht="45.75" x14ac:dyDescent="0.2">
      <c r="A17" s="385">
        <v>17</v>
      </c>
      <c r="B17" s="418" t="s">
        <v>295</v>
      </c>
      <c r="C17" s="430" t="s">
        <v>296</v>
      </c>
      <c r="D17" s="428" t="s">
        <v>297</v>
      </c>
      <c r="E17" s="385">
        <v>96</v>
      </c>
      <c r="F17" s="385" t="s">
        <v>230</v>
      </c>
      <c r="G17" s="385" t="s">
        <v>37</v>
      </c>
      <c r="H17" s="385">
        <v>1</v>
      </c>
      <c r="I17" s="407">
        <v>0</v>
      </c>
      <c r="J17" s="407">
        <v>1142.8599999999999</v>
      </c>
      <c r="K17" s="405">
        <v>0</v>
      </c>
      <c r="L17" s="405">
        <v>0</v>
      </c>
      <c r="M17" s="405">
        <v>0</v>
      </c>
      <c r="N17" s="426">
        <v>44299</v>
      </c>
      <c r="O17" s="400" t="s">
        <v>298</v>
      </c>
      <c r="P17" s="395" t="s">
        <v>91</v>
      </c>
      <c r="Q17" s="395" t="s">
        <v>92</v>
      </c>
      <c r="R17" s="423">
        <v>44174</v>
      </c>
    </row>
    <row r="18" spans="1:18" ht="45.75" x14ac:dyDescent="0.2">
      <c r="A18" s="385">
        <v>18</v>
      </c>
      <c r="B18" s="418" t="s">
        <v>299</v>
      </c>
      <c r="C18" s="430" t="s">
        <v>300</v>
      </c>
      <c r="D18" s="420" t="s">
        <v>301</v>
      </c>
      <c r="E18" s="385">
        <v>60</v>
      </c>
      <c r="F18" s="385" t="s">
        <v>230</v>
      </c>
      <c r="G18" s="385" t="s">
        <v>34</v>
      </c>
      <c r="H18" s="385">
        <v>2</v>
      </c>
      <c r="I18" s="407">
        <v>3428.57</v>
      </c>
      <c r="J18" s="407">
        <v>11428.57</v>
      </c>
      <c r="K18" s="405">
        <v>0</v>
      </c>
      <c r="L18" s="407">
        <v>1142.8599999999999</v>
      </c>
      <c r="M18" s="405">
        <v>0</v>
      </c>
      <c r="N18" s="426">
        <v>44334</v>
      </c>
      <c r="O18" s="400" t="s">
        <v>302</v>
      </c>
      <c r="P18" s="395" t="s">
        <v>203</v>
      </c>
      <c r="Q18" s="395" t="s">
        <v>92</v>
      </c>
      <c r="R18" s="423">
        <v>44175</v>
      </c>
    </row>
    <row r="19" spans="1:18" ht="63.75" x14ac:dyDescent="0.2">
      <c r="A19" s="385">
        <v>19</v>
      </c>
      <c r="B19" s="418" t="s">
        <v>303</v>
      </c>
      <c r="C19" s="419" t="s">
        <v>304</v>
      </c>
      <c r="D19" s="420" t="s">
        <v>305</v>
      </c>
      <c r="E19" s="385">
        <v>60</v>
      </c>
      <c r="F19" s="385" t="s">
        <v>235</v>
      </c>
      <c r="G19" s="385" t="s">
        <v>32</v>
      </c>
      <c r="H19" s="385">
        <v>2</v>
      </c>
      <c r="I19" s="407">
        <v>3428.57</v>
      </c>
      <c r="J19" s="407">
        <v>2285.71</v>
      </c>
      <c r="K19" s="405">
        <v>0</v>
      </c>
      <c r="L19" s="407">
        <v>1142.8599999999999</v>
      </c>
      <c r="M19" s="405">
        <v>0</v>
      </c>
      <c r="N19" s="426" t="s">
        <v>306</v>
      </c>
      <c r="O19" s="400" t="s">
        <v>307</v>
      </c>
      <c r="P19" s="395" t="s">
        <v>91</v>
      </c>
      <c r="Q19" s="395" t="s">
        <v>92</v>
      </c>
      <c r="R19" s="423">
        <v>44175</v>
      </c>
    </row>
    <row r="20" spans="1:18" ht="72.75" x14ac:dyDescent="0.2">
      <c r="A20" s="385">
        <v>20</v>
      </c>
      <c r="B20" s="418" t="s">
        <v>308</v>
      </c>
      <c r="C20" s="419" t="s">
        <v>309</v>
      </c>
      <c r="D20" s="420" t="s">
        <v>310</v>
      </c>
      <c r="E20" s="385">
        <v>46</v>
      </c>
      <c r="F20" s="385" t="s">
        <v>235</v>
      </c>
      <c r="G20" s="385" t="s">
        <v>32</v>
      </c>
      <c r="H20" s="385">
        <v>2</v>
      </c>
      <c r="I20" s="407">
        <v>3428.57</v>
      </c>
      <c r="J20" s="407">
        <v>11428.56</v>
      </c>
      <c r="K20" s="405">
        <v>0</v>
      </c>
      <c r="L20" s="407">
        <v>1142.8599999999999</v>
      </c>
      <c r="M20" s="405">
        <v>0</v>
      </c>
      <c r="N20" s="426">
        <v>44313</v>
      </c>
      <c r="O20" s="400" t="s">
        <v>311</v>
      </c>
      <c r="P20" s="395" t="s">
        <v>91</v>
      </c>
      <c r="Q20" s="395" t="s">
        <v>92</v>
      </c>
      <c r="R20" s="423">
        <v>44176</v>
      </c>
    </row>
    <row r="21" spans="1:18" ht="48" x14ac:dyDescent="0.2">
      <c r="A21" s="385">
        <v>21</v>
      </c>
      <c r="B21" s="418" t="s">
        <v>312</v>
      </c>
      <c r="C21" s="419" t="s">
        <v>313</v>
      </c>
      <c r="D21" s="420" t="s">
        <v>314</v>
      </c>
      <c r="E21" s="385">
        <v>84</v>
      </c>
      <c r="F21" s="385" t="s">
        <v>230</v>
      </c>
      <c r="G21" s="385" t="s">
        <v>37</v>
      </c>
      <c r="H21" s="385">
        <v>2</v>
      </c>
      <c r="I21" s="407">
        <v>0</v>
      </c>
      <c r="J21" s="407">
        <v>2285.71</v>
      </c>
      <c r="K21" s="405">
        <v>0</v>
      </c>
      <c r="L21" s="407">
        <v>0</v>
      </c>
      <c r="M21" s="405">
        <v>0</v>
      </c>
      <c r="N21" s="426">
        <v>44295</v>
      </c>
      <c r="O21" s="400" t="s">
        <v>315</v>
      </c>
      <c r="P21" s="395" t="s">
        <v>91</v>
      </c>
      <c r="Q21" s="395" t="s">
        <v>92</v>
      </c>
      <c r="R21" s="423">
        <v>44180</v>
      </c>
    </row>
    <row r="22" spans="1:18" ht="63" x14ac:dyDescent="0.2">
      <c r="A22" s="385">
        <v>22</v>
      </c>
      <c r="B22" s="418" t="s">
        <v>316</v>
      </c>
      <c r="C22" s="419" t="s">
        <v>317</v>
      </c>
      <c r="D22" s="420" t="s">
        <v>318</v>
      </c>
      <c r="E22" s="385">
        <v>59</v>
      </c>
      <c r="F22" s="385" t="s">
        <v>230</v>
      </c>
      <c r="G22" s="385" t="s">
        <v>32</v>
      </c>
      <c r="H22" s="385">
        <v>2</v>
      </c>
      <c r="I22" s="407">
        <v>3428.57</v>
      </c>
      <c r="J22" s="407">
        <v>0</v>
      </c>
      <c r="K22" s="405">
        <v>1142.8599999999999</v>
      </c>
      <c r="L22" s="407">
        <v>1142.8599999999999</v>
      </c>
      <c r="M22" s="405">
        <v>0</v>
      </c>
      <c r="N22" s="426">
        <v>44289</v>
      </c>
      <c r="O22" s="399" t="s">
        <v>319</v>
      </c>
      <c r="P22" s="395" t="s">
        <v>91</v>
      </c>
      <c r="Q22" s="395" t="s">
        <v>46</v>
      </c>
      <c r="R22" s="423">
        <v>44182</v>
      </c>
    </row>
    <row r="23" spans="1:18" ht="36" x14ac:dyDescent="0.2">
      <c r="A23" s="385">
        <v>23</v>
      </c>
      <c r="B23" s="418" t="s">
        <v>320</v>
      </c>
      <c r="C23" s="419" t="s">
        <v>321</v>
      </c>
      <c r="D23" s="420" t="s">
        <v>322</v>
      </c>
      <c r="E23" s="385">
        <v>73</v>
      </c>
      <c r="F23" s="385" t="s">
        <v>235</v>
      </c>
      <c r="G23" s="385" t="s">
        <v>37</v>
      </c>
      <c r="H23" s="385">
        <v>1</v>
      </c>
      <c r="I23" s="407">
        <v>0</v>
      </c>
      <c r="J23" s="407">
        <v>2285.71</v>
      </c>
      <c r="K23" s="405">
        <v>0</v>
      </c>
      <c r="L23" s="407">
        <v>0</v>
      </c>
      <c r="M23" s="405">
        <v>0</v>
      </c>
      <c r="N23" s="426">
        <v>44315</v>
      </c>
      <c r="O23" s="400" t="s">
        <v>323</v>
      </c>
      <c r="P23" s="395" t="s">
        <v>324</v>
      </c>
      <c r="Q23" s="395" t="s">
        <v>51</v>
      </c>
      <c r="R23" s="423">
        <v>44182</v>
      </c>
    </row>
    <row r="24" spans="1:18" ht="54" x14ac:dyDescent="0.2">
      <c r="A24" s="385">
        <v>24</v>
      </c>
      <c r="B24" s="418" t="s">
        <v>325</v>
      </c>
      <c r="C24" s="419" t="s">
        <v>326</v>
      </c>
      <c r="D24" s="420" t="s">
        <v>327</v>
      </c>
      <c r="E24" s="385">
        <v>65</v>
      </c>
      <c r="F24" s="385" t="s">
        <v>230</v>
      </c>
      <c r="G24" s="385" t="s">
        <v>42</v>
      </c>
      <c r="H24" s="385">
        <v>3</v>
      </c>
      <c r="I24" s="407">
        <v>0</v>
      </c>
      <c r="J24" s="407">
        <v>11428.57</v>
      </c>
      <c r="K24" s="405">
        <v>0</v>
      </c>
      <c r="L24" s="407">
        <v>0</v>
      </c>
      <c r="M24" s="405">
        <v>0</v>
      </c>
      <c r="N24" s="426">
        <v>44206</v>
      </c>
      <c r="O24" s="399" t="s">
        <v>328</v>
      </c>
      <c r="P24" s="395" t="s">
        <v>91</v>
      </c>
      <c r="Q24" s="395" t="s">
        <v>92</v>
      </c>
      <c r="R24" s="423">
        <v>44183</v>
      </c>
    </row>
    <row r="25" spans="1:18" ht="48" x14ac:dyDescent="0.2">
      <c r="A25" s="385">
        <v>25</v>
      </c>
      <c r="B25" s="418" t="s">
        <v>329</v>
      </c>
      <c r="C25" s="419" t="s">
        <v>330</v>
      </c>
      <c r="D25" s="420" t="s">
        <v>331</v>
      </c>
      <c r="E25" s="385">
        <v>72</v>
      </c>
      <c r="F25" s="385" t="s">
        <v>230</v>
      </c>
      <c r="G25" s="385" t="s">
        <v>37</v>
      </c>
      <c r="H25" s="385">
        <v>1</v>
      </c>
      <c r="I25" s="407">
        <v>0</v>
      </c>
      <c r="J25" s="407">
        <v>3428.57</v>
      </c>
      <c r="K25" s="405">
        <v>0</v>
      </c>
      <c r="L25" s="431">
        <v>1142.8599999999999</v>
      </c>
      <c r="M25" s="405">
        <v>0</v>
      </c>
      <c r="N25" s="426">
        <v>44311</v>
      </c>
      <c r="O25" s="400" t="s">
        <v>199</v>
      </c>
      <c r="P25" s="396" t="s">
        <v>332</v>
      </c>
      <c r="Q25" s="395" t="s">
        <v>92</v>
      </c>
      <c r="R25" s="423">
        <v>44186</v>
      </c>
    </row>
    <row r="26" spans="1:18" ht="54.75" x14ac:dyDescent="0.2">
      <c r="A26" s="385">
        <v>26</v>
      </c>
      <c r="B26" s="418" t="s">
        <v>333</v>
      </c>
      <c r="C26" s="419" t="s">
        <v>334</v>
      </c>
      <c r="D26" s="420" t="s">
        <v>335</v>
      </c>
      <c r="E26" s="385">
        <v>68</v>
      </c>
      <c r="F26" s="385" t="s">
        <v>230</v>
      </c>
      <c r="G26" s="385" t="s">
        <v>37</v>
      </c>
      <c r="H26" s="385">
        <v>2</v>
      </c>
      <c r="I26" s="407">
        <v>0</v>
      </c>
      <c r="J26" s="407">
        <v>6857.14</v>
      </c>
      <c r="K26" s="405">
        <v>0</v>
      </c>
      <c r="L26" s="407">
        <v>1142.8599999999999</v>
      </c>
      <c r="M26" s="405">
        <v>0</v>
      </c>
      <c r="N26" s="426">
        <v>44320</v>
      </c>
      <c r="O26" s="400" t="s">
        <v>336</v>
      </c>
      <c r="P26" s="395" t="s">
        <v>39</v>
      </c>
      <c r="Q26" s="395" t="s">
        <v>39</v>
      </c>
      <c r="R26" s="423">
        <v>44186</v>
      </c>
    </row>
    <row r="27" spans="1:18" ht="81.75" x14ac:dyDescent="0.2">
      <c r="A27" s="385">
        <v>27</v>
      </c>
      <c r="B27" s="418" t="s">
        <v>337</v>
      </c>
      <c r="C27" s="419" t="s">
        <v>338</v>
      </c>
      <c r="D27" s="420" t="s">
        <v>339</v>
      </c>
      <c r="E27" s="385">
        <v>51</v>
      </c>
      <c r="F27" s="385" t="s">
        <v>230</v>
      </c>
      <c r="G27" s="385" t="s">
        <v>32</v>
      </c>
      <c r="H27" s="385">
        <v>4</v>
      </c>
      <c r="I27" s="407">
        <v>3428.57</v>
      </c>
      <c r="J27" s="407">
        <v>11428.57</v>
      </c>
      <c r="K27" s="405">
        <v>0</v>
      </c>
      <c r="L27" s="407">
        <v>1142.8599999999999</v>
      </c>
      <c r="M27" s="405">
        <v>0</v>
      </c>
      <c r="N27" s="426">
        <v>44317</v>
      </c>
      <c r="O27" s="400" t="s">
        <v>340</v>
      </c>
      <c r="P27" s="395" t="s">
        <v>39</v>
      </c>
      <c r="Q27" s="395" t="s">
        <v>39</v>
      </c>
      <c r="R27" s="423">
        <v>44186</v>
      </c>
    </row>
    <row r="28" spans="1:18" ht="54.75" x14ac:dyDescent="0.2">
      <c r="A28" s="385">
        <v>28</v>
      </c>
      <c r="B28" s="418" t="s">
        <v>341</v>
      </c>
      <c r="C28" s="419" t="s">
        <v>342</v>
      </c>
      <c r="D28" s="420" t="s">
        <v>343</v>
      </c>
      <c r="E28" s="385">
        <v>87</v>
      </c>
      <c r="F28" s="385" t="s">
        <v>230</v>
      </c>
      <c r="G28" s="385" t="s">
        <v>37</v>
      </c>
      <c r="H28" s="385">
        <v>3</v>
      </c>
      <c r="I28" s="407">
        <v>0</v>
      </c>
      <c r="J28" s="407">
        <v>1142.8599999999999</v>
      </c>
      <c r="K28" s="405">
        <v>0</v>
      </c>
      <c r="L28" s="407">
        <v>0</v>
      </c>
      <c r="M28" s="405">
        <v>0</v>
      </c>
      <c r="N28" s="426">
        <v>44242</v>
      </c>
      <c r="O28" s="400" t="s">
        <v>344</v>
      </c>
      <c r="P28" s="395" t="s">
        <v>113</v>
      </c>
      <c r="Q28" s="395" t="s">
        <v>113</v>
      </c>
      <c r="R28" s="423">
        <v>44187</v>
      </c>
    </row>
    <row r="29" spans="1:18" ht="45" x14ac:dyDescent="0.2">
      <c r="A29" s="385">
        <v>29</v>
      </c>
      <c r="B29" s="418" t="s">
        <v>345</v>
      </c>
      <c r="C29" s="419" t="s">
        <v>346</v>
      </c>
      <c r="D29" s="420" t="s">
        <v>347</v>
      </c>
      <c r="E29" s="385">
        <v>84</v>
      </c>
      <c r="F29" s="385" t="s">
        <v>235</v>
      </c>
      <c r="G29" s="385" t="s">
        <v>37</v>
      </c>
      <c r="H29" s="385">
        <v>3</v>
      </c>
      <c r="I29" s="407">
        <v>0</v>
      </c>
      <c r="J29" s="407">
        <v>3428.57</v>
      </c>
      <c r="K29" s="405">
        <v>0</v>
      </c>
      <c r="L29" s="407">
        <v>0</v>
      </c>
      <c r="M29" s="405">
        <v>0</v>
      </c>
      <c r="N29" s="426">
        <v>44316</v>
      </c>
      <c r="O29" s="399" t="s">
        <v>348</v>
      </c>
      <c r="P29" s="395" t="s">
        <v>93</v>
      </c>
      <c r="Q29" s="395" t="s">
        <v>93</v>
      </c>
      <c r="R29" s="423">
        <v>44187</v>
      </c>
    </row>
    <row r="30" spans="1:18" ht="72" x14ac:dyDescent="0.2">
      <c r="A30" s="385">
        <v>30</v>
      </c>
      <c r="B30" s="418" t="s">
        <v>349</v>
      </c>
      <c r="C30" s="419" t="s">
        <v>350</v>
      </c>
      <c r="D30" s="420" t="s">
        <v>351</v>
      </c>
      <c r="E30" s="385">
        <v>78</v>
      </c>
      <c r="F30" s="385" t="s">
        <v>235</v>
      </c>
      <c r="G30" s="385" t="s">
        <v>32</v>
      </c>
      <c r="H30" s="385">
        <v>3</v>
      </c>
      <c r="I30" s="407">
        <v>3428.57</v>
      </c>
      <c r="J30" s="407">
        <v>3428.57</v>
      </c>
      <c r="K30" s="405">
        <v>0</v>
      </c>
      <c r="L30" s="407">
        <v>0</v>
      </c>
      <c r="M30" s="405">
        <v>0</v>
      </c>
      <c r="N30" s="426">
        <v>44266</v>
      </c>
      <c r="O30" s="399" t="s">
        <v>352</v>
      </c>
      <c r="P30" s="395" t="s">
        <v>93</v>
      </c>
      <c r="Q30" s="395" t="s">
        <v>93</v>
      </c>
      <c r="R30" s="423">
        <v>44187</v>
      </c>
    </row>
    <row r="31" spans="1:18" ht="36.75" x14ac:dyDescent="0.2">
      <c r="A31" s="385">
        <v>31</v>
      </c>
      <c r="B31" s="418" t="s">
        <v>353</v>
      </c>
      <c r="C31" s="419" t="s">
        <v>354</v>
      </c>
      <c r="D31" s="420" t="s">
        <v>355</v>
      </c>
      <c r="E31" s="385">
        <v>39</v>
      </c>
      <c r="F31" s="385" t="s">
        <v>230</v>
      </c>
      <c r="G31" s="385" t="s">
        <v>32</v>
      </c>
      <c r="H31" s="385">
        <v>1</v>
      </c>
      <c r="I31" s="407">
        <v>3428.57</v>
      </c>
      <c r="J31" s="407">
        <v>3428.57</v>
      </c>
      <c r="K31" s="405">
        <v>0</v>
      </c>
      <c r="L31" s="407">
        <v>0</v>
      </c>
      <c r="M31" s="405">
        <v>0</v>
      </c>
      <c r="N31" s="426">
        <v>44296</v>
      </c>
      <c r="O31" s="400" t="s">
        <v>356</v>
      </c>
      <c r="P31" s="395" t="s">
        <v>91</v>
      </c>
      <c r="Q31" s="395" t="s">
        <v>200</v>
      </c>
      <c r="R31" s="423">
        <v>44187</v>
      </c>
    </row>
    <row r="32" spans="1:18" ht="60" x14ac:dyDescent="0.2">
      <c r="A32" s="385">
        <v>32</v>
      </c>
      <c r="B32" s="418" t="s">
        <v>357</v>
      </c>
      <c r="C32" s="419" t="s">
        <v>358</v>
      </c>
      <c r="D32" s="420" t="s">
        <v>359</v>
      </c>
      <c r="E32" s="385">
        <v>53</v>
      </c>
      <c r="F32" s="385" t="s">
        <v>230</v>
      </c>
      <c r="G32" s="385" t="s">
        <v>32</v>
      </c>
      <c r="H32" s="385">
        <v>3</v>
      </c>
      <c r="I32" s="407">
        <v>3428.57</v>
      </c>
      <c r="J32" s="407">
        <v>3428.57</v>
      </c>
      <c r="K32" s="405">
        <v>0</v>
      </c>
      <c r="L32" s="407">
        <v>0</v>
      </c>
      <c r="M32" s="405">
        <v>0</v>
      </c>
      <c r="N32" s="426">
        <v>43550</v>
      </c>
      <c r="O32" s="400" t="s">
        <v>204</v>
      </c>
      <c r="P32" s="395" t="s">
        <v>360</v>
      </c>
      <c r="Q32" s="395" t="s">
        <v>51</v>
      </c>
      <c r="R32" s="423">
        <v>44187</v>
      </c>
    </row>
    <row r="33" spans="1:18" ht="36.75" x14ac:dyDescent="0.2">
      <c r="A33" s="385">
        <v>33</v>
      </c>
      <c r="B33" s="418" t="s">
        <v>361</v>
      </c>
      <c r="C33" s="419" t="s">
        <v>362</v>
      </c>
      <c r="D33" s="420" t="s">
        <v>363</v>
      </c>
      <c r="E33" s="385">
        <v>72</v>
      </c>
      <c r="F33" s="385" t="s">
        <v>235</v>
      </c>
      <c r="G33" s="385" t="s">
        <v>32</v>
      </c>
      <c r="H33" s="385">
        <v>4</v>
      </c>
      <c r="I33" s="407">
        <v>3428.57</v>
      </c>
      <c r="J33" s="407">
        <v>2285.71</v>
      </c>
      <c r="K33" s="405">
        <v>0</v>
      </c>
      <c r="L33" s="407">
        <v>0</v>
      </c>
      <c r="M33" s="405">
        <v>0</v>
      </c>
      <c r="N33" s="426">
        <v>44308</v>
      </c>
      <c r="O33" s="400" t="s">
        <v>364</v>
      </c>
      <c r="P33" s="395" t="s">
        <v>91</v>
      </c>
      <c r="Q33" s="395" t="s">
        <v>92</v>
      </c>
      <c r="R33" s="423">
        <v>44188</v>
      </c>
    </row>
    <row r="34" spans="1:18" ht="36" x14ac:dyDescent="0.2">
      <c r="A34" s="385">
        <v>34</v>
      </c>
      <c r="B34" s="418" t="s">
        <v>365</v>
      </c>
      <c r="C34" s="419" t="s">
        <v>366</v>
      </c>
      <c r="D34" s="420" t="s">
        <v>367</v>
      </c>
      <c r="E34" s="385">
        <v>93</v>
      </c>
      <c r="F34" s="385" t="s">
        <v>235</v>
      </c>
      <c r="G34" s="385" t="s">
        <v>37</v>
      </c>
      <c r="H34" s="385">
        <v>2</v>
      </c>
      <c r="I34" s="407">
        <v>0</v>
      </c>
      <c r="J34" s="407">
        <v>3428.57</v>
      </c>
      <c r="K34" s="405">
        <v>0</v>
      </c>
      <c r="L34" s="407">
        <v>0</v>
      </c>
      <c r="M34" s="405">
        <v>0</v>
      </c>
      <c r="N34" s="426">
        <v>44281</v>
      </c>
      <c r="O34" s="400" t="s">
        <v>368</v>
      </c>
      <c r="P34" s="395" t="s">
        <v>31</v>
      </c>
      <c r="Q34" s="395" t="s">
        <v>369</v>
      </c>
      <c r="R34" s="423">
        <v>44188</v>
      </c>
    </row>
    <row r="35" spans="1:18" ht="36" x14ac:dyDescent="0.2">
      <c r="A35" s="385">
        <v>35</v>
      </c>
      <c r="B35" s="418" t="s">
        <v>370</v>
      </c>
      <c r="C35" s="419" t="s">
        <v>371</v>
      </c>
      <c r="D35" s="420" t="s">
        <v>372</v>
      </c>
      <c r="E35" s="385">
        <v>92</v>
      </c>
      <c r="F35" s="385" t="s">
        <v>235</v>
      </c>
      <c r="G35" s="385" t="s">
        <v>37</v>
      </c>
      <c r="H35" s="385">
        <v>2</v>
      </c>
      <c r="I35" s="407">
        <v>0</v>
      </c>
      <c r="J35" s="407">
        <v>3428.57</v>
      </c>
      <c r="K35" s="405">
        <v>0</v>
      </c>
      <c r="L35" s="407">
        <v>0</v>
      </c>
      <c r="M35" s="405">
        <v>0</v>
      </c>
      <c r="N35" s="426">
        <v>44332</v>
      </c>
      <c r="O35" s="400" t="s">
        <v>373</v>
      </c>
      <c r="P35" s="395" t="s">
        <v>205</v>
      </c>
      <c r="Q35" s="395" t="s">
        <v>92</v>
      </c>
      <c r="R35" s="423">
        <v>44188</v>
      </c>
    </row>
    <row r="36" spans="1:18" ht="81.75" x14ac:dyDescent="0.2">
      <c r="A36" s="385">
        <v>36</v>
      </c>
      <c r="B36" s="418" t="s">
        <v>374</v>
      </c>
      <c r="C36" s="419" t="s">
        <v>375</v>
      </c>
      <c r="D36" s="420" t="s">
        <v>376</v>
      </c>
      <c r="E36" s="432">
        <v>102</v>
      </c>
      <c r="F36" s="385" t="s">
        <v>230</v>
      </c>
      <c r="G36" s="385" t="s">
        <v>37</v>
      </c>
      <c r="H36" s="385">
        <v>3</v>
      </c>
      <c r="I36" s="407">
        <v>0</v>
      </c>
      <c r="J36" s="407">
        <v>1142.8599999999999</v>
      </c>
      <c r="K36" s="405">
        <v>0</v>
      </c>
      <c r="L36" s="407">
        <v>0</v>
      </c>
      <c r="M36" s="405">
        <v>0</v>
      </c>
      <c r="N36" s="426">
        <v>43725</v>
      </c>
      <c r="O36" s="400" t="s">
        <v>377</v>
      </c>
      <c r="P36" s="395" t="s">
        <v>91</v>
      </c>
      <c r="Q36" s="395" t="s">
        <v>92</v>
      </c>
      <c r="R36" s="423">
        <v>44188</v>
      </c>
    </row>
    <row r="37" spans="1:18" ht="48" x14ac:dyDescent="0.2">
      <c r="A37" s="375">
        <v>37</v>
      </c>
      <c r="B37" s="376" t="s">
        <v>378</v>
      </c>
      <c r="C37" s="377" t="s">
        <v>379</v>
      </c>
      <c r="D37" s="378" t="s">
        <v>380</v>
      </c>
      <c r="E37" s="379">
        <v>73</v>
      </c>
      <c r="F37" s="379" t="s">
        <v>235</v>
      </c>
      <c r="G37" s="388" t="s">
        <v>37</v>
      </c>
      <c r="H37" s="379">
        <v>3</v>
      </c>
      <c r="I37" s="408">
        <v>0</v>
      </c>
      <c r="J37" s="408">
        <v>2285.71</v>
      </c>
      <c r="K37" s="381">
        <v>0</v>
      </c>
      <c r="L37" s="380">
        <v>0</v>
      </c>
      <c r="M37" s="381">
        <v>0</v>
      </c>
      <c r="N37" s="382">
        <v>44290</v>
      </c>
      <c r="O37" s="403" t="s">
        <v>381</v>
      </c>
      <c r="P37" s="397" t="s">
        <v>205</v>
      </c>
      <c r="Q37" s="383" t="s">
        <v>92</v>
      </c>
      <c r="R37" s="384">
        <v>44347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1. RESUMEN DE PAGADOS </vt:lpstr>
      <vt:lpstr>2. COMPR DEV 30%</vt:lpstr>
      <vt:lpstr>3. COMP VR</vt:lpstr>
      <vt:lpstr>4. COMP VP</vt:lpstr>
      <vt:lpstr>5.ESTADÍSTICAS POR REPORTE</vt:lpstr>
      <vt:lpstr>6.ESTADÍSCAS X REPORTE ACUMU</vt:lpstr>
      <vt:lpstr>7. REPORTADOS F+ DETALLE-SEG</vt:lpstr>
      <vt:lpstr>Total estadísticas de junio2021</vt:lpstr>
      <vt:lpstr>Hoja1</vt:lpstr>
    </vt:vector>
  </TitlesOfParts>
  <Company>Caja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Ester</dc:creator>
  <cp:lastModifiedBy>Blanca Batres</cp:lastModifiedBy>
  <cp:lastPrinted>2021-07-13T17:29:00Z</cp:lastPrinted>
  <dcterms:created xsi:type="dcterms:W3CDTF">2002-04-29T19:59:45Z</dcterms:created>
  <dcterms:modified xsi:type="dcterms:W3CDTF">2021-07-30T03:12:34Z</dcterms:modified>
</cp:coreProperties>
</file>