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cajaminedsv-my.sharepoint.com/personal/beraly_morataya_cajaminedsv_onmicrosoft_com/Documents/Escritorio/RECLAMOS/3.4.2.2-R-ESTADISTICIAS/ESTADÍSTICAS AÑO 2024/ESTADISTICAS BLANCA BATRES/"/>
    </mc:Choice>
  </mc:AlternateContent>
  <xr:revisionPtr revIDLastSave="86" documentId="13_ncr:1_{BB8E136F-2A05-4F58-B1F2-AFF8620757D4}" xr6:coauthVersionLast="47" xr6:coauthVersionMax="47" xr10:uidLastSave="{AC78C8B0-DC73-4F97-A80A-8555A9FD8D3F}"/>
  <bookViews>
    <workbookView xWindow="-120" yWindow="-120" windowWidth="20730" windowHeight="11160" tabRatio="601" firstSheet="1" activeTab="1" xr2:uid="{00000000-000D-0000-FFFF-FFFF00000000}"/>
  </bookViews>
  <sheets>
    <sheet name="RESUMEN ACUMULADO" sheetId="27" r:id="rId1"/>
    <sheet name="RESUMEN MENSUAL" sheetId="25" r:id="rId2"/>
    <sheet name="1. RESUMEN DE PAGADOS " sheetId="4" r:id="rId3"/>
    <sheet name="2. COMPR DEV 30%" sheetId="16" r:id="rId4"/>
    <sheet name="3. COMP VR" sheetId="17" r:id="rId5"/>
    <sheet name="4. COMP VP" sheetId="18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5" l="1"/>
  <c r="J11" i="4" l="1"/>
  <c r="N11" i="4"/>
  <c r="F12" i="18"/>
  <c r="E12" i="18"/>
  <c r="D12" i="18"/>
  <c r="C12" i="18"/>
  <c r="E9" i="17"/>
  <c r="C9" i="17"/>
  <c r="B9" i="17"/>
  <c r="E9" i="16"/>
  <c r="D9" i="16"/>
  <c r="C9" i="16"/>
  <c r="B9" i="16"/>
  <c r="M11" i="4"/>
  <c r="H11" i="4"/>
  <c r="G11" i="4"/>
  <c r="D11" i="4"/>
  <c r="C11" i="4"/>
  <c r="I11" i="4"/>
  <c r="E21" i="17" l="1"/>
  <c r="D21" i="17"/>
  <c r="D19" i="25"/>
  <c r="D36" i="25" s="1"/>
  <c r="D13" i="25"/>
  <c r="D15" i="25" s="1"/>
  <c r="D11" i="25"/>
  <c r="D10" i="25"/>
  <c r="D8" i="25"/>
  <c r="D30" i="25" s="1"/>
  <c r="D7" i="25"/>
  <c r="D6" i="25"/>
  <c r="D12" i="25" s="1"/>
  <c r="E9" i="25"/>
  <c r="E31" i="25" s="1"/>
  <c r="E20" i="25"/>
  <c r="D20" i="25"/>
  <c r="D37" i="25" s="1"/>
  <c r="E8" i="25"/>
  <c r="E30" i="25" s="1"/>
  <c r="E7" i="25"/>
  <c r="E29" i="25" s="1"/>
  <c r="E11" i="25"/>
  <c r="E6" i="25"/>
  <c r="E28" i="25" s="1"/>
  <c r="E10" i="25"/>
  <c r="E32" i="25" s="1"/>
  <c r="I23" i="4"/>
  <c r="E11" i="27" s="1"/>
  <c r="E33" i="27" s="1"/>
  <c r="E13" i="25"/>
  <c r="E34" i="25" s="1"/>
  <c r="E14" i="25"/>
  <c r="E35" i="25" s="1"/>
  <c r="C24" i="18"/>
  <c r="C23" i="27" s="1"/>
  <c r="C40" i="27" s="1"/>
  <c r="F24" i="18"/>
  <c r="D24" i="18"/>
  <c r="D21" i="16"/>
  <c r="E21" i="25"/>
  <c r="E38" i="25" s="1"/>
  <c r="C21" i="16"/>
  <c r="D21" i="25"/>
  <c r="D38" i="25" s="1"/>
  <c r="P22" i="4"/>
  <c r="Q22" i="4"/>
  <c r="P21" i="4"/>
  <c r="Q21" i="4"/>
  <c r="P20" i="4"/>
  <c r="Q20" i="4" s="1"/>
  <c r="P19" i="4"/>
  <c r="P18" i="4"/>
  <c r="Q18" i="4"/>
  <c r="P17" i="4"/>
  <c r="P16" i="4"/>
  <c r="P15" i="4"/>
  <c r="Q15" i="4"/>
  <c r="P14" i="4"/>
  <c r="P13" i="4"/>
  <c r="P12" i="4"/>
  <c r="H16" i="27"/>
  <c r="C18" i="27"/>
  <c r="C20" i="25"/>
  <c r="C37" i="25" s="1"/>
  <c r="C19" i="25"/>
  <c r="C36" i="25" s="1"/>
  <c r="C15" i="25"/>
  <c r="C3" i="25"/>
  <c r="C8" i="25"/>
  <c r="C10" i="25"/>
  <c r="C32" i="25" s="1"/>
  <c r="C7" i="25"/>
  <c r="C29" i="25"/>
  <c r="C6" i="25"/>
  <c r="C12" i="25" s="1"/>
  <c r="C16" i="25" s="1"/>
  <c r="C28" i="25"/>
  <c r="D38" i="27"/>
  <c r="C38" i="27"/>
  <c r="D37" i="27"/>
  <c r="C37" i="27"/>
  <c r="D36" i="27"/>
  <c r="C36" i="27"/>
  <c r="D34" i="27"/>
  <c r="C34" i="27"/>
  <c r="D33" i="27"/>
  <c r="C33" i="27"/>
  <c r="D18" i="27"/>
  <c r="D35" i="27"/>
  <c r="C35" i="27"/>
  <c r="D32" i="27"/>
  <c r="C32" i="27"/>
  <c r="D31" i="27"/>
  <c r="C31" i="27"/>
  <c r="C6" i="27"/>
  <c r="C21" i="25"/>
  <c r="C38" i="25" s="1"/>
  <c r="E24" i="18"/>
  <c r="F23" i="4"/>
  <c r="E23" i="4"/>
  <c r="D23" i="4"/>
  <c r="N23" i="4"/>
  <c r="E17" i="27" s="1"/>
  <c r="E21" i="16"/>
  <c r="D29" i="25"/>
  <c r="C23" i="4"/>
  <c r="M23" i="4"/>
  <c r="E13" i="27" s="1"/>
  <c r="E35" i="27" s="1"/>
  <c r="D35" i="25"/>
  <c r="D33" i="25"/>
  <c r="D32" i="25"/>
  <c r="D31" i="25"/>
  <c r="C35" i="25"/>
  <c r="C34" i="25"/>
  <c r="C31" i="25"/>
  <c r="Q19" i="4"/>
  <c r="B7" i="17"/>
  <c r="Q12" i="4"/>
  <c r="Q13" i="4"/>
  <c r="Q16" i="4"/>
  <c r="Q17" i="4"/>
  <c r="L23" i="4"/>
  <c r="C33" i="25"/>
  <c r="Q14" i="4"/>
  <c r="B23" i="4"/>
  <c r="K23" i="4"/>
  <c r="E12" i="27" s="1"/>
  <c r="E34" i="27" s="1"/>
  <c r="J23" i="4"/>
  <c r="E16" i="27" s="1"/>
  <c r="E37" i="27" s="1"/>
  <c r="B21" i="16"/>
  <c r="C24" i="27" s="1"/>
  <c r="C15" i="27"/>
  <c r="C19" i="27"/>
  <c r="D15" i="27"/>
  <c r="D19" i="27"/>
  <c r="P11" i="4"/>
  <c r="Q11" i="4" s="1"/>
  <c r="E19" i="25"/>
  <c r="E36" i="25" s="1"/>
  <c r="C21" i="17"/>
  <c r="B21" i="17"/>
  <c r="C22" i="27" s="1"/>
  <c r="G23" i="4"/>
  <c r="E9" i="27" s="1"/>
  <c r="E31" i="27" s="1"/>
  <c r="O23" i="4"/>
  <c r="E14" i="27" s="1"/>
  <c r="E36" i="27" s="1"/>
  <c r="C30" i="25"/>
  <c r="H23" i="4"/>
  <c r="E10" i="27" s="1"/>
  <c r="E32" i="27" s="1"/>
  <c r="C22" i="25" l="1"/>
  <c r="C24" i="25"/>
  <c r="C39" i="25"/>
  <c r="D16" i="25"/>
  <c r="E15" i="25"/>
  <c r="D28" i="25"/>
  <c r="D34" i="25"/>
  <c r="E22" i="27"/>
  <c r="E39" i="27" s="1"/>
  <c r="D22" i="27"/>
  <c r="D39" i="27" s="1"/>
  <c r="C39" i="27"/>
  <c r="D22" i="25"/>
  <c r="E12" i="25"/>
  <c r="E18" i="27"/>
  <c r="E38" i="27"/>
  <c r="E33" i="25"/>
  <c r="P23" i="4"/>
  <c r="I14" i="27"/>
  <c r="E15" i="27"/>
  <c r="E24" i="27"/>
  <c r="E41" i="27" s="1"/>
  <c r="D24" i="27"/>
  <c r="D41" i="27" s="1"/>
  <c r="C41" i="27"/>
  <c r="E22" i="25"/>
  <c r="F19" i="25" s="1"/>
  <c r="Q23" i="4"/>
  <c r="Q24" i="4" s="1"/>
  <c r="E23" i="27"/>
  <c r="D23" i="27"/>
  <c r="E37" i="25"/>
  <c r="C25" i="27"/>
  <c r="C27" i="27" s="1"/>
  <c r="E16" i="25" l="1"/>
  <c r="F9" i="25" s="1"/>
  <c r="D39" i="25"/>
  <c r="D24" i="25"/>
  <c r="E19" i="27"/>
  <c r="F13" i="27" s="1"/>
  <c r="C42" i="27"/>
  <c r="E25" i="27"/>
  <c r="F24" i="27" s="1"/>
  <c r="F21" i="25"/>
  <c r="F20" i="25"/>
  <c r="E40" i="27"/>
  <c r="E42" i="27" s="1"/>
  <c r="F36" i="27" s="1"/>
  <c r="E39" i="25"/>
  <c r="F37" i="25" s="1"/>
  <c r="D40" i="27"/>
  <c r="D42" i="27" s="1"/>
  <c r="D25" i="27"/>
  <c r="D27" i="27" s="1"/>
  <c r="F11" i="27" l="1"/>
  <c r="F16" i="27"/>
  <c r="F14" i="27"/>
  <c r="F13" i="25"/>
  <c r="E24" i="25"/>
  <c r="F11" i="25"/>
  <c r="F6" i="25"/>
  <c r="F14" i="25"/>
  <c r="F8" i="25"/>
  <c r="F7" i="25"/>
  <c r="F10" i="25"/>
  <c r="F17" i="27"/>
  <c r="F10" i="27"/>
  <c r="F9" i="27"/>
  <c r="F12" i="27"/>
  <c r="F22" i="25"/>
  <c r="E27" i="27"/>
  <c r="F23" i="27"/>
  <c r="F22" i="27"/>
  <c r="F41" i="27"/>
  <c r="F39" i="27"/>
  <c r="F40" i="27"/>
  <c r="F34" i="27"/>
  <c r="F31" i="27"/>
  <c r="F32" i="27"/>
  <c r="F37" i="27"/>
  <c r="F35" i="27"/>
  <c r="I42" i="27"/>
  <c r="F33" i="27"/>
  <c r="F38" i="27"/>
  <c r="F29" i="25"/>
  <c r="F34" i="25"/>
  <c r="F28" i="25"/>
  <c r="F33" i="25"/>
  <c r="F31" i="25"/>
  <c r="F36" i="25"/>
  <c r="F30" i="25"/>
  <c r="F32" i="25"/>
  <c r="F38" i="25"/>
  <c r="F35" i="25"/>
  <c r="F16" i="25" l="1"/>
  <c r="F19" i="27"/>
  <c r="F25" i="27"/>
  <c r="F42" i="27"/>
  <c r="F39" i="25"/>
</calcChain>
</file>

<file path=xl/sharedStrings.xml><?xml version="1.0" encoding="utf-8"?>
<sst xmlns="http://schemas.openxmlformats.org/spreadsheetml/2006/main" count="206" uniqueCount="96">
  <si>
    <t>TOTAL</t>
  </si>
  <si>
    <t>TOTAL GENERAL PAGADO EN SEGUROS</t>
  </si>
  <si>
    <t>Ene.</t>
  </si>
  <si>
    <t>Feb.</t>
  </si>
  <si>
    <t>Mar.</t>
  </si>
  <si>
    <t>Abril</t>
  </si>
  <si>
    <t>Mayo</t>
  </si>
  <si>
    <t xml:space="preserve">MES   </t>
  </si>
  <si>
    <t>Junio</t>
  </si>
  <si>
    <t>Julio</t>
  </si>
  <si>
    <t>Agosto</t>
  </si>
  <si>
    <t>Sept.</t>
  </si>
  <si>
    <t>Octubre</t>
  </si>
  <si>
    <t>Noviem</t>
  </si>
  <si>
    <t>Diciem</t>
  </si>
  <si>
    <t>DOBLE PAGO POR MUERTE ACCIDENTAL</t>
  </si>
  <si>
    <t xml:space="preserve">PAGO DEL 10% DE GASTOS FUNERARIOS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</si>
  <si>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</si>
  <si>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</si>
  <si>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</si>
  <si>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</si>
  <si>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</si>
  <si>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</si>
  <si>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</si>
  <si>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</si>
  <si>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</si>
  <si>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</si>
  <si>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</si>
  <si>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RESUMEN SOBRE VALORES PAGADOS EN DEVOLUCION DEL 30%</t>
  </si>
  <si>
    <t xml:space="preserve"> DE LOS APORTES PAGADOS EN EL SEGURO DE VIDA OPCIONAL A LOS  </t>
  </si>
  <si>
    <t>MESES</t>
  </si>
  <si>
    <t>Nº DE VALORES DE RESCATE RECLAMADOS</t>
  </si>
  <si>
    <t>RENTA RETENIDA 10%</t>
  </si>
  <si>
    <t>VALORES PAGADOS POR LOS ASEGURADOS</t>
  </si>
  <si>
    <t>CANTIDAD PAGADA</t>
  </si>
  <si>
    <t>SEPTIEMBRE</t>
  </si>
  <si>
    <t xml:space="preserve">RESUMEN SOBRE VALORES DE RESCATE </t>
  </si>
  <si>
    <t xml:space="preserve">RESUMEN MENSUAL SOBRE PAGO DE SEGURO  </t>
  </si>
  <si>
    <t>CANTIDAD LÍQUIDA PAGADA</t>
  </si>
  <si>
    <t xml:space="preserve">JULIO  </t>
  </si>
  <si>
    <t>TOTALES</t>
  </si>
  <si>
    <t>NUMERO DE SEGUROS RECLAMADOS</t>
  </si>
  <si>
    <t>Nº DE DEVOLUCIONES DEL 30% RECLAMADAS</t>
  </si>
  <si>
    <t>PAGADO EN SEGURO DE VIDA BÁSICO</t>
  </si>
  <si>
    <t>PAGADO EN SEGURO DE VIDA DOTAL</t>
  </si>
  <si>
    <t>PAGADO EN SEGURO POR SEPELIO</t>
  </si>
  <si>
    <t xml:space="preserve">             </t>
  </si>
  <si>
    <t>PAGADO EN SEGURO DECRECIENTE DE DEUDA</t>
  </si>
  <si>
    <t>Trámite</t>
  </si>
  <si>
    <t xml:space="preserve">Monto </t>
  </si>
  <si>
    <t>N° de Resoluciones de pagos</t>
  </si>
  <si>
    <t>Seguro de Vida Básico</t>
  </si>
  <si>
    <t>Seguro de Vida Opcional</t>
  </si>
  <si>
    <t>Seguro de Vida Dotal</t>
  </si>
  <si>
    <t>Valores de Rescate</t>
  </si>
  <si>
    <t xml:space="preserve">Vencimiento de póliza </t>
  </si>
  <si>
    <t xml:space="preserve">Devolución del 30% </t>
  </si>
  <si>
    <t>* Valores incluyen pagos a realizar, sin descuento de Renta</t>
  </si>
  <si>
    <t xml:space="preserve">Participación porcentual </t>
  </si>
  <si>
    <t>SEGURO DE VIDA OPCIONAL</t>
  </si>
  <si>
    <t>PAGO DEL 100% DEL SVO  AL ASEGURADO (EN VIDA) POR INCAPACIDAD TOTAL Y PERMANENTE</t>
  </si>
  <si>
    <t>NOTAS:</t>
  </si>
  <si>
    <t>PAGADO                     SEGURO DE VIDA OPCIONAL</t>
  </si>
  <si>
    <t>HOMBRES (CUADROS APROBADOS POR CD)</t>
  </si>
  <si>
    <t>MUJERES (CUADROS APROBADOS POR CD)</t>
  </si>
  <si>
    <t>CUADRO RESUMEN DE PAGOS APROBADOS A BENEFICIARIOS DE SEGUROS DE VIDA BÁSICO, OPCIONAL, DOTAL, SEPELIO, DEUDA Y BENEFICIOS DE SVO</t>
  </si>
  <si>
    <t xml:space="preserve">FALLECIDOS </t>
  </si>
  <si>
    <t>Seguro Decreciente de Deuda</t>
  </si>
  <si>
    <t xml:space="preserve">Ayuda Gastos Funerarios                 </t>
  </si>
  <si>
    <t xml:space="preserve">Seguro por Sepelio </t>
  </si>
  <si>
    <t>Sub total</t>
  </si>
  <si>
    <t>PAGADO CASO ESPECIAL                     SEGURO DE VIDA OPCIONAL</t>
  </si>
  <si>
    <t xml:space="preserve">Pago Doble por muerte accidental </t>
  </si>
  <si>
    <t>No.2</t>
  </si>
  <si>
    <t>Trámite*</t>
  </si>
  <si>
    <t xml:space="preserve">Caso Especial - Seguro de Vida Opcional </t>
  </si>
  <si>
    <t xml:space="preserve">Ayuda Gastos Funerarios            </t>
  </si>
  <si>
    <t>N° de Beneficiarios por Seguro</t>
  </si>
  <si>
    <t xml:space="preserve">N° de Asegurados fallecidos </t>
  </si>
  <si>
    <t>N° población beneficiaida</t>
  </si>
  <si>
    <t>N° de Asegurados beneficiados</t>
  </si>
  <si>
    <t>Caso Especial - Seguro de Vida Opcional</t>
  </si>
  <si>
    <t>*BM</t>
  </si>
  <si>
    <t>Elaboró:</t>
  </si>
  <si>
    <t>Sandra Beraly Morataya Quinteros</t>
  </si>
  <si>
    <t>Jefa de Reclamos</t>
  </si>
  <si>
    <t>Nº DE BENEF. A LOS QUE SE LES HA PAGADO EN EL AÑO 2022 (CUADROS APROBADOS POR CD + CASOS DE INV)</t>
  </si>
  <si>
    <t xml:space="preserve"> FALLECIDOS  AÑO 2024 QUE HAN RECLAMADO Y PAGADO (CUADROS APROBADOS POR CD)</t>
  </si>
  <si>
    <t>SEGUROS PEND. DE PAGO DE OTROS AÑOS, PAGADOS EN EL 2024 (CUADROS APROBADOS POR CD+ CASOS DE INV)</t>
  </si>
  <si>
    <t>DEL 01 DE ENERO AL 31 DE DICIEMBRE DEL AÑO 2024</t>
  </si>
  <si>
    <t>DEL 01  DE ENERO AL 31 DICIEMBRE DEL AÑO 2024</t>
  </si>
  <si>
    <t>ASEGURADOS QUE CUMPLIERON 70 AÑOS DE EDAD DURANTE EL AÑO 2024</t>
  </si>
  <si>
    <t>DE SEGURO DE VIDA DOTAL PAGADOS AÑO 2024</t>
  </si>
  <si>
    <t>DE VIDA DOTAL POR VENCIMIENTO DE PÓLIZA  AÑO 2024</t>
  </si>
  <si>
    <t>CORRESPONDIENTE AL PERIODO DEL 01 DE ENERO AL 31 DE DICIEMBRE DEL AÑO 2024</t>
  </si>
  <si>
    <t>San Salvador, 31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</si>
</sst>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-[$$-C09]* #,##0.00_-;\-[$$-C09]* #,##0.00_-;_-[$$-C09]* &quot;-&quot;??_-;_-@_-"/>
    <numFmt numFmtId="167" formatCode="_([$€]* #,##0.00_);_([$€]* \(#,##0.00\);_([$€]* &quot;-&quot;??_);_(@_)"/>
    <numFmt numFmtId="168" formatCode="&quot;$&quot;#,##0.00;[Red]&quot;$&quot;#,##0.0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4"/>
      <name val="Arial"/>
      <family val="2"/>
    </font>
    <font>
      <sz val="5"/>
      <name val="Arial"/>
      <family val="2"/>
    </font>
    <font>
      <b/>
      <sz val="9"/>
      <name val="Bookman Old Style"/>
      <family val="1"/>
    </font>
    <font>
      <b/>
      <sz val="8"/>
      <name val="Bookman Old Style"/>
      <family val="1"/>
    </font>
    <font>
      <b/>
      <sz val="7"/>
      <name val="Bookman Old Style"/>
      <family val="1"/>
    </font>
    <font>
      <sz val="10"/>
      <name val="Tahoma"/>
      <family val="2"/>
    </font>
    <font>
      <i/>
      <sz val="5"/>
      <name val="Arial"/>
      <family val="2"/>
    </font>
    <font>
      <b/>
      <sz val="7"/>
      <name val="Arial"/>
      <family val="2"/>
    </font>
    <font>
      <b/>
      <sz val="4"/>
      <name val="Arial"/>
      <family val="2"/>
    </font>
    <font>
      <sz val="11"/>
      <name val="Museo Sans 300"/>
      <family val="3"/>
    </font>
    <font>
      <sz val="10"/>
      <name val="Museo Sans 300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Museo Sans 300"/>
      <family val="3"/>
    </font>
    <font>
      <sz val="11"/>
      <color theme="1"/>
      <name val="Museo Sans 300"/>
      <family val="3"/>
    </font>
    <font>
      <b/>
      <sz val="10"/>
      <color theme="1"/>
      <name val="Museo Sans 300"/>
      <family val="3"/>
    </font>
    <font>
      <sz val="10"/>
      <color theme="1"/>
      <name val="Museo Sans 300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8" tint="-0.249977111117893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1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0" applyFont="1"/>
    <xf numFmtId="9" fontId="0" fillId="0" borderId="0" xfId="11" applyFont="1"/>
    <xf numFmtId="0" fontId="8" fillId="0" borderId="0" xfId="0" applyFont="1"/>
    <xf numFmtId="0" fontId="7" fillId="0" borderId="0" xfId="0" applyFont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3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" fontId="17" fillId="0" borderId="5" xfId="0" applyNumberFormat="1" applyFont="1" applyBorder="1" applyAlignment="1">
      <alignment horizontal="left"/>
    </xf>
    <xf numFmtId="0" fontId="13" fillId="0" borderId="0" xfId="0" applyFont="1"/>
    <xf numFmtId="17" fontId="17" fillId="0" borderId="2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6" fontId="0" fillId="0" borderId="0" xfId="0" applyNumberFormat="1"/>
    <xf numFmtId="0" fontId="14" fillId="0" borderId="0" xfId="0" applyFont="1" applyAlignment="1">
      <alignment horizontal="center"/>
    </xf>
    <xf numFmtId="0" fontId="23" fillId="0" borderId="0" xfId="7"/>
    <xf numFmtId="0" fontId="13" fillId="0" borderId="0" xfId="7" applyFont="1" applyAlignment="1">
      <alignment horizontal="center"/>
    </xf>
    <xf numFmtId="0" fontId="3" fillId="0" borderId="0" xfId="7" applyFont="1"/>
    <xf numFmtId="0" fontId="4" fillId="0" borderId="0" xfId="7" applyFont="1"/>
    <xf numFmtId="165" fontId="3" fillId="0" borderId="0" xfId="7" applyNumberFormat="1" applyFont="1"/>
    <xf numFmtId="0" fontId="7" fillId="0" borderId="0" xfId="7" applyFont="1"/>
    <xf numFmtId="0" fontId="3" fillId="0" borderId="0" xfId="7" applyFont="1" applyAlignment="1">
      <alignment horizontal="left"/>
    </xf>
    <xf numFmtId="0" fontId="3" fillId="0" borderId="0" xfId="7" applyFont="1" applyAlignment="1">
      <alignment horizontal="center"/>
    </xf>
    <xf numFmtId="0" fontId="13" fillId="0" borderId="0" xfId="7" applyFont="1"/>
    <xf numFmtId="17" fontId="17" fillId="0" borderId="11" xfId="0" applyNumberFormat="1" applyFont="1" applyBorder="1" applyAlignment="1">
      <alignment horizontal="left"/>
    </xf>
    <xf numFmtId="0" fontId="0" fillId="0" borderId="0" xfId="11" applyNumberFormat="1" applyFont="1"/>
    <xf numFmtId="166" fontId="0" fillId="0" borderId="0" xfId="11" applyNumberFormat="1" applyFont="1"/>
    <xf numFmtId="0" fontId="3" fillId="0" borderId="0" xfId="11" applyNumberFormat="1" applyFont="1"/>
    <xf numFmtId="1" fontId="0" fillId="0" borderId="0" xfId="11" applyNumberFormat="1" applyFont="1"/>
    <xf numFmtId="166" fontId="3" fillId="0" borderId="0" xfId="11" applyNumberFormat="1" applyFont="1"/>
    <xf numFmtId="0" fontId="2" fillId="0" borderId="6" xfId="0" applyFont="1" applyBorder="1" applyAlignment="1">
      <alignment horizontal="center"/>
    </xf>
    <xf numFmtId="0" fontId="9" fillId="0" borderId="0" xfId="0" applyFont="1" applyAlignment="1">
      <alignment horizontal="left"/>
    </xf>
    <xf numFmtId="165" fontId="0" fillId="0" borderId="0" xfId="5" applyFont="1"/>
    <xf numFmtId="4" fontId="0" fillId="0" borderId="0" xfId="11" applyNumberFormat="1" applyFont="1"/>
    <xf numFmtId="1" fontId="3" fillId="0" borderId="0" xfId="11" applyNumberFormat="1" applyFont="1"/>
    <xf numFmtId="165" fontId="3" fillId="0" borderId="0" xfId="5" applyFont="1"/>
    <xf numFmtId="166" fontId="2" fillId="0" borderId="12" xfId="0" applyNumberFormat="1" applyFont="1" applyBorder="1" applyAlignment="1">
      <alignment horizontal="center"/>
    </xf>
    <xf numFmtId="9" fontId="2" fillId="0" borderId="0" xfId="11" applyFont="1" applyFill="1" applyBorder="1" applyAlignment="1">
      <alignment horizontal="center"/>
    </xf>
    <xf numFmtId="0" fontId="25" fillId="0" borderId="0" xfId="7" applyFont="1"/>
    <xf numFmtId="0" fontId="26" fillId="0" borderId="0" xfId="0" applyFont="1"/>
    <xf numFmtId="0" fontId="13" fillId="0" borderId="0" xfId="0" applyFont="1" applyAlignment="1">
      <alignment vertical="center"/>
    </xf>
    <xf numFmtId="0" fontId="13" fillId="0" borderId="0" xfId="7" applyFont="1" applyAlignment="1">
      <alignment vertical="center"/>
    </xf>
    <xf numFmtId="166" fontId="27" fillId="0" borderId="0" xfId="0" applyNumberFormat="1" applyFont="1"/>
    <xf numFmtId="0" fontId="3" fillId="0" borderId="2" xfId="9" applyBorder="1"/>
    <xf numFmtId="0" fontId="15" fillId="0" borderId="9" xfId="9" applyFont="1" applyBorder="1" applyAlignment="1">
      <alignment horizontal="center" vertical="center" wrapText="1"/>
    </xf>
    <xf numFmtId="0" fontId="16" fillId="0" borderId="2" xfId="9" applyFont="1" applyBorder="1" applyAlignment="1">
      <alignment horizontal="center" vertical="center" wrapText="1"/>
    </xf>
    <xf numFmtId="0" fontId="15" fillId="0" borderId="3" xfId="9" applyFont="1" applyBorder="1" applyAlignment="1">
      <alignment horizontal="center" vertical="center" wrapText="1"/>
    </xf>
    <xf numFmtId="0" fontId="15" fillId="0" borderId="10" xfId="9" applyFont="1" applyBorder="1" applyAlignment="1">
      <alignment horizontal="center" vertical="center" wrapText="1"/>
    </xf>
    <xf numFmtId="0" fontId="15" fillId="0" borderId="4" xfId="9" applyFont="1" applyBorder="1" applyAlignment="1">
      <alignment horizontal="center" vertical="center" wrapText="1"/>
    </xf>
    <xf numFmtId="0" fontId="16" fillId="0" borderId="10" xfId="9" applyFont="1" applyBorder="1" applyAlignment="1">
      <alignment horizontal="center" vertical="center" wrapText="1"/>
    </xf>
    <xf numFmtId="165" fontId="4" fillId="0" borderId="15" xfId="5" applyFont="1" applyBorder="1" applyAlignment="1">
      <alignment horizontal="center"/>
    </xf>
    <xf numFmtId="17" fontId="4" fillId="0" borderId="16" xfId="0" applyNumberFormat="1" applyFont="1" applyBorder="1" applyAlignment="1">
      <alignment horizontal="center"/>
    </xf>
    <xf numFmtId="17" fontId="4" fillId="0" borderId="17" xfId="0" applyNumberFormat="1" applyFont="1" applyBorder="1" applyAlignment="1">
      <alignment horizontal="center"/>
    </xf>
    <xf numFmtId="17" fontId="4" fillId="0" borderId="18" xfId="0" applyNumberFormat="1" applyFont="1" applyBorder="1" applyAlignment="1">
      <alignment horizontal="center"/>
    </xf>
    <xf numFmtId="17" fontId="4" fillId="0" borderId="19" xfId="0" applyNumberFormat="1" applyFont="1" applyBorder="1" applyAlignment="1">
      <alignment horizontal="center"/>
    </xf>
    <xf numFmtId="165" fontId="4" fillId="0" borderId="0" xfId="0" applyNumberFormat="1" applyFont="1"/>
    <xf numFmtId="166" fontId="3" fillId="0" borderId="0" xfId="7" applyNumberFormat="1" applyFont="1"/>
    <xf numFmtId="165" fontId="2" fillId="0" borderId="6" xfId="4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8" fillId="0" borderId="2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10" fontId="29" fillId="0" borderId="21" xfId="11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165" fontId="4" fillId="0" borderId="26" xfId="5" applyFont="1" applyBorder="1" applyAlignment="1">
      <alignment horizontal="center"/>
    </xf>
    <xf numFmtId="17" fontId="4" fillId="0" borderId="27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 shrinkToFit="1"/>
    </xf>
    <xf numFmtId="165" fontId="4" fillId="0" borderId="31" xfId="5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65" fontId="5" fillId="0" borderId="32" xfId="4" applyFont="1" applyBorder="1" applyAlignment="1">
      <alignment horizontal="center"/>
    </xf>
    <xf numFmtId="165" fontId="5" fillId="0" borderId="33" xfId="4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44" fontId="0" fillId="0" borderId="0" xfId="0" applyNumberFormat="1"/>
    <xf numFmtId="165" fontId="2" fillId="0" borderId="23" xfId="0" applyNumberFormat="1" applyFont="1" applyBorder="1" applyAlignment="1">
      <alignment horizontal="center"/>
    </xf>
    <xf numFmtId="165" fontId="29" fillId="0" borderId="0" xfId="4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/>
    </xf>
    <xf numFmtId="165" fontId="4" fillId="2" borderId="26" xfId="5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0" fillId="0" borderId="22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justify" vertical="center" wrapText="1"/>
    </xf>
    <xf numFmtId="0" fontId="3" fillId="0" borderId="40" xfId="0" applyFont="1" applyBorder="1" applyAlignment="1">
      <alignment horizontal="center"/>
    </xf>
    <xf numFmtId="165" fontId="31" fillId="0" borderId="31" xfId="4" applyFont="1" applyBorder="1" applyAlignment="1">
      <alignment horizontal="justify" vertical="center" wrapText="1"/>
    </xf>
    <xf numFmtId="10" fontId="31" fillId="0" borderId="40" xfId="11" applyNumberFormat="1" applyFont="1" applyBorder="1" applyAlignment="1">
      <alignment horizontal="center" vertical="center" wrapText="1"/>
    </xf>
    <xf numFmtId="0" fontId="22" fillId="0" borderId="41" xfId="0" applyFont="1" applyBorder="1"/>
    <xf numFmtId="0" fontId="3" fillId="0" borderId="21" xfId="0" applyFont="1" applyBorder="1" applyAlignment="1">
      <alignment horizontal="center"/>
    </xf>
    <xf numFmtId="10" fontId="31" fillId="0" borderId="21" xfId="11" applyNumberFormat="1" applyFont="1" applyBorder="1" applyAlignment="1">
      <alignment horizontal="center" vertical="center" wrapText="1"/>
    </xf>
    <xf numFmtId="10" fontId="31" fillId="0" borderId="41" xfId="11" applyNumberFormat="1" applyFont="1" applyBorder="1" applyAlignment="1">
      <alignment horizontal="center" vertical="center" wrapText="1"/>
    </xf>
    <xf numFmtId="10" fontId="30" fillId="0" borderId="22" xfId="11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justify" vertical="center" wrapText="1"/>
    </xf>
    <xf numFmtId="165" fontId="31" fillId="0" borderId="42" xfId="4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left" vertical="center" wrapText="1"/>
    </xf>
    <xf numFmtId="17" fontId="32" fillId="0" borderId="5" xfId="7" applyNumberFormat="1" applyFont="1" applyBorder="1" applyAlignment="1">
      <alignment horizontal="left"/>
    </xf>
    <xf numFmtId="0" fontId="32" fillId="0" borderId="5" xfId="7" applyFont="1" applyBorder="1" applyAlignment="1">
      <alignment horizontal="center"/>
    </xf>
    <xf numFmtId="44" fontId="32" fillId="0" borderId="5" xfId="6" applyFont="1" applyBorder="1" applyAlignment="1">
      <alignment horizontal="center"/>
    </xf>
    <xf numFmtId="166" fontId="32" fillId="0" borderId="5" xfId="7" applyNumberFormat="1" applyFont="1" applyBorder="1" applyAlignment="1">
      <alignment horizontal="center"/>
    </xf>
    <xf numFmtId="44" fontId="23" fillId="0" borderId="5" xfId="6" applyFont="1" applyBorder="1"/>
    <xf numFmtId="17" fontId="32" fillId="0" borderId="5" xfId="9" applyNumberFormat="1" applyFont="1" applyBorder="1" applyAlignment="1">
      <alignment horizontal="left"/>
    </xf>
    <xf numFmtId="0" fontId="33" fillId="0" borderId="5" xfId="7" applyFont="1" applyBorder="1"/>
    <xf numFmtId="0" fontId="33" fillId="0" borderId="6" xfId="0" applyFont="1" applyBorder="1" applyAlignment="1">
      <alignment horizontal="center"/>
    </xf>
    <xf numFmtId="44" fontId="33" fillId="0" borderId="6" xfId="0" applyNumberFormat="1" applyFont="1" applyBorder="1" applyAlignment="1">
      <alignment horizontal="center"/>
    </xf>
    <xf numFmtId="166" fontId="33" fillId="0" borderId="6" xfId="0" applyNumberFormat="1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165" fontId="3" fillId="0" borderId="5" xfId="4" applyFont="1" applyBorder="1" applyAlignment="1">
      <alignment horizontal="center" vertical="center"/>
    </xf>
    <xf numFmtId="17" fontId="3" fillId="0" borderId="43" xfId="0" applyNumberFormat="1" applyFont="1" applyBorder="1" applyAlignment="1">
      <alignment horizontal="left"/>
    </xf>
    <xf numFmtId="165" fontId="31" fillId="0" borderId="0" xfId="4" applyFont="1" applyBorder="1" applyAlignment="1">
      <alignment horizontal="left" vertical="center" wrapText="1"/>
    </xf>
    <xf numFmtId="10" fontId="31" fillId="0" borderId="0" xfId="11" applyNumberFormat="1" applyFont="1" applyBorder="1" applyAlignment="1">
      <alignment horizontal="center" vertical="center" wrapText="1"/>
    </xf>
    <xf numFmtId="10" fontId="31" fillId="0" borderId="44" xfId="11" applyNumberFormat="1" applyFont="1" applyBorder="1" applyAlignment="1">
      <alignment horizontal="center" vertical="center" wrapText="1"/>
    </xf>
    <xf numFmtId="165" fontId="2" fillId="0" borderId="45" xfId="0" applyNumberFormat="1" applyFont="1" applyBorder="1" applyAlignment="1">
      <alignment horizontal="center"/>
    </xf>
    <xf numFmtId="10" fontId="31" fillId="0" borderId="22" xfId="11" applyNumberFormat="1" applyFont="1" applyBorder="1" applyAlignment="1">
      <alignment horizontal="center" vertical="center" wrapText="1"/>
    </xf>
    <xf numFmtId="0" fontId="29" fillId="0" borderId="46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left" vertical="center" wrapText="1"/>
    </xf>
    <xf numFmtId="0" fontId="29" fillId="0" borderId="47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justify" vertical="center" wrapText="1"/>
    </xf>
    <xf numFmtId="0" fontId="21" fillId="0" borderId="47" xfId="0" applyFont="1" applyBorder="1"/>
    <xf numFmtId="10" fontId="29" fillId="0" borderId="41" xfId="11" applyNumberFormat="1" applyFont="1" applyBorder="1" applyAlignment="1">
      <alignment horizontal="center" vertical="center" wrapText="1"/>
    </xf>
    <xf numFmtId="0" fontId="29" fillId="0" borderId="48" xfId="0" applyFont="1" applyBorder="1" applyAlignment="1">
      <alignment horizontal="left" vertical="center" wrapText="1"/>
    </xf>
    <xf numFmtId="0" fontId="0" fillId="0" borderId="44" xfId="0" applyBorder="1" applyAlignment="1">
      <alignment horizontal="center"/>
    </xf>
    <xf numFmtId="0" fontId="0" fillId="2" borderId="21" xfId="0" applyFill="1" applyBorder="1" applyAlignment="1">
      <alignment horizontal="center"/>
    </xf>
    <xf numFmtId="165" fontId="29" fillId="0" borderId="44" xfId="4" applyFont="1" applyBorder="1" applyAlignment="1">
      <alignment horizontal="left" vertical="center" wrapText="1"/>
    </xf>
    <xf numFmtId="165" fontId="29" fillId="0" borderId="21" xfId="4" applyFont="1" applyBorder="1" applyAlignment="1">
      <alignment horizontal="left" vertical="center" wrapText="1"/>
    </xf>
    <xf numFmtId="165" fontId="29" fillId="0" borderId="21" xfId="4" applyFont="1" applyBorder="1" applyAlignment="1">
      <alignment horizontal="justify" vertical="center" wrapText="1"/>
    </xf>
    <xf numFmtId="10" fontId="29" fillId="0" borderId="44" xfId="11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165" fontId="29" fillId="0" borderId="41" xfId="4" applyFont="1" applyBorder="1" applyAlignment="1">
      <alignment horizontal="justify" vertical="center" wrapText="1"/>
    </xf>
    <xf numFmtId="165" fontId="2" fillId="0" borderId="22" xfId="0" applyNumberFormat="1" applyFont="1" applyBorder="1" applyAlignment="1">
      <alignment horizontal="center"/>
    </xf>
    <xf numFmtId="0" fontId="34" fillId="0" borderId="0" xfId="0" applyFont="1"/>
    <xf numFmtId="10" fontId="28" fillId="0" borderId="22" xfId="1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0" fontId="29" fillId="0" borderId="0" xfId="11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27" fillId="0" borderId="0" xfId="0" applyFont="1"/>
    <xf numFmtId="0" fontId="35" fillId="0" borderId="0" xfId="0" applyFont="1" applyAlignment="1">
      <alignment horizontal="center" wrapText="1"/>
    </xf>
    <xf numFmtId="165" fontId="26" fillId="0" borderId="49" xfId="5" applyFont="1" applyBorder="1" applyAlignment="1">
      <alignment horizontal="center"/>
    </xf>
    <xf numFmtId="164" fontId="27" fillId="0" borderId="0" xfId="0" applyNumberFormat="1" applyFont="1"/>
    <xf numFmtId="165" fontId="27" fillId="0" borderId="0" xfId="0" applyNumberFormat="1" applyFont="1"/>
    <xf numFmtId="44" fontId="27" fillId="0" borderId="0" xfId="0" applyNumberFormat="1" applyFont="1"/>
    <xf numFmtId="44" fontId="36" fillId="0" borderId="0" xfId="0" applyNumberFormat="1" applyFont="1"/>
    <xf numFmtId="165" fontId="26" fillId="0" borderId="0" xfId="5" applyFont="1" applyFill="1" applyBorder="1" applyAlignment="1">
      <alignment horizontal="center"/>
    </xf>
    <xf numFmtId="165" fontId="37" fillId="0" borderId="22" xfId="4" applyFont="1" applyBorder="1" applyAlignment="1">
      <alignment horizontal="center"/>
    </xf>
    <xf numFmtId="165" fontId="37" fillId="0" borderId="0" xfId="4" applyFont="1" applyBorder="1" applyAlignment="1">
      <alignment horizontal="center"/>
    </xf>
    <xf numFmtId="164" fontId="38" fillId="0" borderId="0" xfId="11" applyNumberFormat="1" applyFont="1"/>
    <xf numFmtId="0" fontId="26" fillId="0" borderId="42" xfId="0" applyFont="1" applyBorder="1"/>
    <xf numFmtId="9" fontId="27" fillId="0" borderId="0" xfId="11" applyFont="1"/>
    <xf numFmtId="0" fontId="38" fillId="0" borderId="0" xfId="0" applyFont="1"/>
    <xf numFmtId="0" fontId="3" fillId="0" borderId="4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8" fillId="0" borderId="5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/>
    </xf>
    <xf numFmtId="0" fontId="31" fillId="0" borderId="4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165" fontId="31" fillId="0" borderId="39" xfId="4" applyFont="1" applyBorder="1" applyAlignment="1">
      <alignment horizontal="left" vertical="center" wrapText="1"/>
    </xf>
    <xf numFmtId="0" fontId="30" fillId="0" borderId="3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/>
    </xf>
    <xf numFmtId="0" fontId="31" fillId="0" borderId="21" xfId="0" applyFont="1" applyBorder="1" applyAlignment="1">
      <alignment horizontal="center" vertical="center" wrapText="1"/>
    </xf>
    <xf numFmtId="10" fontId="31" fillId="0" borderId="51" xfId="11" applyNumberFormat="1" applyFont="1" applyBorder="1" applyAlignment="1">
      <alignment horizontal="center" vertical="center" wrapText="1"/>
    </xf>
    <xf numFmtId="10" fontId="31" fillId="0" borderId="37" xfId="11" applyNumberFormat="1" applyFont="1" applyBorder="1" applyAlignment="1">
      <alignment horizontal="center" vertical="center" wrapText="1"/>
    </xf>
    <xf numFmtId="10" fontId="31" fillId="0" borderId="20" xfId="11" applyNumberFormat="1" applyFont="1" applyBorder="1" applyAlignment="1">
      <alignment horizontal="center" vertical="center"/>
    </xf>
    <xf numFmtId="165" fontId="31" fillId="0" borderId="40" xfId="4" applyFont="1" applyBorder="1" applyAlignment="1">
      <alignment horizontal="left" vertical="center" wrapText="1"/>
    </xf>
    <xf numFmtId="165" fontId="31" fillId="0" borderId="21" xfId="4" applyFont="1" applyBorder="1" applyAlignment="1">
      <alignment horizontal="left" vertical="center" wrapText="1"/>
    </xf>
    <xf numFmtId="165" fontId="30" fillId="0" borderId="14" xfId="4" applyFont="1" applyBorder="1" applyAlignment="1">
      <alignment horizontal="left" vertical="center"/>
    </xf>
    <xf numFmtId="0" fontId="31" fillId="0" borderId="48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right" vertical="center" wrapText="1"/>
    </xf>
    <xf numFmtId="0" fontId="3" fillId="2" borderId="52" xfId="0" applyFont="1" applyFill="1" applyBorder="1" applyAlignment="1">
      <alignment horizontal="center"/>
    </xf>
    <xf numFmtId="165" fontId="30" fillId="0" borderId="34" xfId="4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0" fillId="0" borderId="23" xfId="0" applyFont="1" applyBorder="1" applyAlignment="1">
      <alignment horizontal="right" vertical="center" wrapText="1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4" fontId="2" fillId="0" borderId="0" xfId="0" applyNumberFormat="1" applyFont="1" applyAlignment="1">
      <alignment wrapText="1"/>
    </xf>
    <xf numFmtId="44" fontId="2" fillId="0" borderId="14" xfId="0" applyNumberFormat="1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1" fillId="0" borderId="21" xfId="0" applyFont="1" applyBorder="1" applyAlignment="1">
      <alignment horizontal="justify" vertical="center" wrapText="1"/>
    </xf>
    <xf numFmtId="44" fontId="3" fillId="0" borderId="0" xfId="0" applyNumberFormat="1" applyFont="1"/>
    <xf numFmtId="168" fontId="27" fillId="0" borderId="0" xfId="0" applyNumberFormat="1" applyFont="1"/>
    <xf numFmtId="0" fontId="31" fillId="0" borderId="54" xfId="0" applyFont="1" applyBorder="1" applyAlignment="1">
      <alignment horizontal="left" vertical="center" wrapText="1"/>
    </xf>
    <xf numFmtId="0" fontId="30" fillId="0" borderId="53" xfId="0" applyFont="1" applyBorder="1" applyAlignment="1">
      <alignment horizontal="center" vertical="center" wrapText="1"/>
    </xf>
    <xf numFmtId="0" fontId="39" fillId="0" borderId="0" xfId="0" applyFont="1"/>
    <xf numFmtId="0" fontId="40" fillId="0" borderId="0" xfId="0" applyFont="1"/>
    <xf numFmtId="0" fontId="34" fillId="0" borderId="0" xfId="0" applyFont="1" applyAlignment="1">
      <alignment horizontal="right"/>
    </xf>
    <xf numFmtId="165" fontId="31" fillId="0" borderId="55" xfId="4" applyFont="1" applyBorder="1" applyAlignment="1">
      <alignment horizontal="left" vertical="center" wrapText="1"/>
    </xf>
    <xf numFmtId="165" fontId="30" fillId="0" borderId="22" xfId="4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center"/>
    </xf>
    <xf numFmtId="44" fontId="41" fillId="0" borderId="0" xfId="0" applyNumberFormat="1" applyFont="1"/>
    <xf numFmtId="0" fontId="42" fillId="0" borderId="0" xfId="0" applyFont="1"/>
    <xf numFmtId="0" fontId="37" fillId="0" borderId="0" xfId="0" applyFont="1"/>
    <xf numFmtId="0" fontId="43" fillId="0" borderId="0" xfId="0" applyFont="1"/>
    <xf numFmtId="3" fontId="27" fillId="0" borderId="0" xfId="0" applyNumberFormat="1" applyFont="1"/>
    <xf numFmtId="17" fontId="27" fillId="0" borderId="0" xfId="0" applyNumberFormat="1" applyFont="1" applyAlignment="1">
      <alignment horizontal="right"/>
    </xf>
    <xf numFmtId="0" fontId="16" fillId="0" borderId="56" xfId="9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42" xfId="0" applyFont="1" applyBorder="1"/>
    <xf numFmtId="0" fontId="4" fillId="0" borderId="42" xfId="0" applyFont="1" applyBorder="1"/>
    <xf numFmtId="165" fontId="5" fillId="0" borderId="0" xfId="0" applyNumberFormat="1" applyFont="1"/>
    <xf numFmtId="0" fontId="7" fillId="0" borderId="0" xfId="0" applyFont="1" applyAlignment="1">
      <alignment horizontal="left"/>
    </xf>
    <xf numFmtId="16" fontId="26" fillId="0" borderId="0" xfId="0" applyNumberFormat="1" applyFont="1" applyAlignment="1">
      <alignment horizontal="right"/>
    </xf>
    <xf numFmtId="0" fontId="31" fillId="0" borderId="39" xfId="4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0" xfId="7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" fontId="17" fillId="0" borderId="0" xfId="7" applyNumberFormat="1" applyFont="1" applyAlignment="1">
      <alignment horizontal="left"/>
    </xf>
    <xf numFmtId="0" fontId="32" fillId="0" borderId="0" xfId="7" applyFont="1" applyAlignment="1">
      <alignment horizontal="center"/>
    </xf>
    <xf numFmtId="44" fontId="32" fillId="0" borderId="0" xfId="6" applyFont="1" applyBorder="1" applyAlignment="1">
      <alignment horizontal="center"/>
    </xf>
    <xf numFmtId="166" fontId="32" fillId="0" borderId="0" xfId="7" applyNumberFormat="1" applyFont="1" applyAlignment="1">
      <alignment horizontal="center"/>
    </xf>
    <xf numFmtId="44" fontId="1" fillId="0" borderId="0" xfId="6" applyFont="1" applyBorder="1"/>
    <xf numFmtId="0" fontId="2" fillId="0" borderId="0" xfId="7" applyFont="1"/>
    <xf numFmtId="0" fontId="2" fillId="0" borderId="0" xfId="7" applyFont="1" applyAlignment="1">
      <alignment horizontal="center"/>
    </xf>
    <xf numFmtId="44" fontId="8" fillId="0" borderId="0" xfId="6" applyFont="1" applyBorder="1" applyAlignment="1">
      <alignment horizontal="center"/>
    </xf>
    <xf numFmtId="166" fontId="8" fillId="0" borderId="0" xfId="6" applyNumberFormat="1" applyFont="1" applyBorder="1" applyAlignment="1">
      <alignment horizontal="center"/>
    </xf>
    <xf numFmtId="166" fontId="8" fillId="0" borderId="0" xfId="7" applyNumberFormat="1" applyFont="1" applyAlignment="1">
      <alignment horizontal="center"/>
    </xf>
    <xf numFmtId="0" fontId="18" fillId="0" borderId="0" xfId="7" applyFont="1"/>
    <xf numFmtId="17" fontId="17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165" fontId="3" fillId="0" borderId="0" xfId="5" applyFont="1" applyBorder="1" applyAlignment="1">
      <alignment horizontal="center" vertical="center"/>
    </xf>
    <xf numFmtId="165" fontId="3" fillId="0" borderId="0" xfId="5" applyFont="1" applyFill="1" applyBorder="1" applyAlignment="1">
      <alignment horizontal="center" vertical="center"/>
    </xf>
    <xf numFmtId="165" fontId="2" fillId="0" borderId="0" xfId="5" applyFont="1" applyBorder="1" applyAlignment="1">
      <alignment horizontal="center"/>
    </xf>
    <xf numFmtId="0" fontId="18" fillId="0" borderId="0" xfId="0" applyFont="1"/>
    <xf numFmtId="0" fontId="0" fillId="0" borderId="69" xfId="0" applyBorder="1"/>
    <xf numFmtId="166" fontId="2" fillId="0" borderId="0" xfId="0" applyNumberFormat="1" applyFont="1" applyAlignment="1">
      <alignment horizontal="center"/>
    </xf>
    <xf numFmtId="0" fontId="28" fillId="0" borderId="57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6" fillId="0" borderId="60" xfId="0" applyFont="1" applyBorder="1" applyAlignment="1">
      <alignment horizontal="center" vertical="center" wrapText="1" shrinkToFit="1"/>
    </xf>
    <xf numFmtId="0" fontId="6" fillId="0" borderId="63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6" fillId="0" borderId="64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0" fontId="6" fillId="0" borderId="59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wrapText="1" shrinkToFit="1"/>
    </xf>
    <xf numFmtId="0" fontId="20" fillId="0" borderId="59" xfId="0" applyFont="1" applyBorder="1" applyAlignment="1">
      <alignment horizontal="center" vertical="center" wrapText="1" shrinkToFit="1"/>
    </xf>
    <xf numFmtId="0" fontId="20" fillId="0" borderId="28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6" fillId="0" borderId="61" xfId="0" applyFont="1" applyBorder="1" applyAlignment="1">
      <alignment horizontal="center" vertical="center" wrapText="1" shrinkToFit="1"/>
    </xf>
    <xf numFmtId="0" fontId="35" fillId="0" borderId="53" xfId="0" applyFont="1" applyBorder="1" applyAlignment="1">
      <alignment horizontal="center" vertical="center" wrapText="1" shrinkToFit="1"/>
    </xf>
    <xf numFmtId="0" fontId="35" fillId="0" borderId="62" xfId="0" applyFont="1" applyBorder="1" applyAlignment="1">
      <alignment horizontal="center" vertical="center" wrapText="1" shrinkToFit="1"/>
    </xf>
    <xf numFmtId="0" fontId="16" fillId="0" borderId="0" xfId="7" applyFont="1" applyAlignment="1">
      <alignment horizontal="center"/>
    </xf>
    <xf numFmtId="0" fontId="16" fillId="0" borderId="65" xfId="9" applyFont="1" applyBorder="1" applyAlignment="1">
      <alignment horizontal="center" vertical="center" wrapText="1"/>
    </xf>
    <xf numFmtId="0" fontId="16" fillId="0" borderId="66" xfId="9" applyFont="1" applyBorder="1" applyAlignment="1">
      <alignment horizontal="center" vertical="center" wrapText="1"/>
    </xf>
    <xf numFmtId="0" fontId="16" fillId="0" borderId="67" xfId="9" applyFont="1" applyBorder="1" applyAlignment="1">
      <alignment horizontal="center" vertical="center" wrapText="1"/>
    </xf>
    <xf numFmtId="0" fontId="19" fillId="0" borderId="68" xfId="7" applyFont="1" applyBorder="1" applyAlignment="1">
      <alignment horizontal="center"/>
    </xf>
    <xf numFmtId="0" fontId="19" fillId="0" borderId="0" xfId="7" applyFont="1" applyAlignment="1">
      <alignment horizontal="center"/>
    </xf>
    <xf numFmtId="0" fontId="15" fillId="0" borderId="0" xfId="7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</cellXfs>
  <cellStyles count="14">
    <cellStyle name="Euro" xfId="1" xr:uid="{00000000-0005-0000-0000-000000000000}"/>
    <cellStyle name="Euro 2" xfId="2" xr:uid="{00000000-0005-0000-0000-000001000000}"/>
    <cellStyle name="Hipervínculo 2" xfId="3" xr:uid="{00000000-0005-0000-0000-000002000000}"/>
    <cellStyle name="Moneda" xfId="4" builtinId="4"/>
    <cellStyle name="Moneda 2" xfId="5" xr:uid="{00000000-0005-0000-0000-000004000000}"/>
    <cellStyle name="Moneda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3 2" xfId="10" xr:uid="{00000000-0005-0000-0000-00000A000000}"/>
    <cellStyle name="Porcentaje" xfId="11" builtinId="5"/>
    <cellStyle name="Porcentaje 2" xfId="12" xr:uid="{00000000-0005-0000-0000-00000C000000}"/>
    <cellStyle name="Porcentual 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s-SV"/>
              <a:t>Trámites cancelados año 2020</a:t>
            </a:r>
          </a:p>
        </c:rich>
      </c:tx>
      <c:layout>
        <c:manualLayout>
          <c:xMode val="edge"/>
          <c:yMode val="edge"/>
          <c:x val="0.33629974429991827"/>
          <c:y val="2.22909979031414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36501623191392"/>
          <c:y val="6.0386908841732527E-2"/>
          <c:w val="0.72551286750012067"/>
          <c:h val="0.8738799760097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'RESUMEN ACUMULADO'!$E$30</c:f>
              <c:strCache>
                <c:ptCount val="1"/>
                <c:pt idx="0">
                  <c:v>Monto </c:v>
                </c:pt>
              </c:strCache>
            </c:strRef>
          </c:tx>
          <c:spPr>
            <a:gradFill flip="none" rotWithShape="1">
              <a:gsLst>
                <a:gs pos="0">
                  <a:srgbClr val="FFC000">
                    <a:shade val="30000"/>
                    <a:satMod val="115000"/>
                  </a:srgbClr>
                </a:gs>
                <a:gs pos="50000">
                  <a:srgbClr val="FFC000">
                    <a:shade val="67500"/>
                    <a:satMod val="115000"/>
                  </a:srgbClr>
                </a:gs>
                <a:gs pos="100000">
                  <a:srgbClr val="FFC00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-0.1251141184667218"/>
                  <c:y val="-3.1207704827768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D1-499C-89F8-E9A72C53B441}"/>
                </c:ext>
              </c:extLst>
            </c:dLbl>
            <c:dLbl>
              <c:idx val="7"/>
              <c:layout>
                <c:manualLayout>
                  <c:x val="-7.7602427909738758E-2"/>
                  <c:y val="-4.9040679015065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1-499C-89F8-E9A72C53B4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Book Antiqua" panose="02040602050305030304" pitchFamily="18" charset="0"/>
                    <a:ea typeface="Calibri"/>
                    <a:cs typeface="Calibri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ACUMULADO'!$B$31:$B$41</c:f>
              <c:strCache>
                <c:ptCount val="9"/>
                <c:pt idx="0">
                  <c:v>Seguro de Vida Básico</c:v>
                </c:pt>
                <c:pt idx="1">
                  <c:v>Seguro de Vida Opcional</c:v>
                </c:pt>
                <c:pt idx="2">
                  <c:v>Seguro de Vida Dotal</c:v>
                </c:pt>
                <c:pt idx="3">
                  <c:v>Seguro Decreciente de Deuda</c:v>
                </c:pt>
                <c:pt idx="4">
                  <c:v>Ayuda Gastos Funerarios                 </c:v>
                </c:pt>
                <c:pt idx="5">
                  <c:v>Seguro por Sepelio </c:v>
                </c:pt>
                <c:pt idx="6">
                  <c:v>Valores de Rescate</c:v>
                </c:pt>
                <c:pt idx="7">
                  <c:v>Vencimiento de póliza </c:v>
                </c:pt>
                <c:pt idx="8">
                  <c:v>Devolución del 30% </c:v>
                </c:pt>
              </c:strCache>
            </c:strRef>
          </c:cat>
          <c:val>
            <c:numRef>
              <c:f>'RESUMEN ACUMULADO'!$E$31:$E$41</c:f>
              <c:numCache>
                <c:formatCode>_("$"* #,##0.00_);_("$"* \(#,##0.00\);_("$"* "-"??_);_(@_)</c:formatCode>
                <c:ptCount val="9"/>
                <c:pt idx="0">
                  <c:v>38879.97</c:v>
                </c:pt>
                <c:pt idx="1">
                  <c:v>107685.81</c:v>
                </c:pt>
                <c:pt idx="2">
                  <c:v>1714.29</c:v>
                </c:pt>
                <c:pt idx="3">
                  <c:v>0</c:v>
                </c:pt>
                <c:pt idx="4">
                  <c:v>6914.2999999999993</c:v>
                </c:pt>
                <c:pt idx="5">
                  <c:v>9142.8799999999992</c:v>
                </c:pt>
                <c:pt idx="6">
                  <c:v>114177.16</c:v>
                </c:pt>
                <c:pt idx="7">
                  <c:v>115428.68</c:v>
                </c:pt>
                <c:pt idx="8">
                  <c:v>17558.11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1-499C-89F8-E9A72C53B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692944"/>
        <c:axId val="110684240"/>
      </c:barChart>
      <c:catAx>
        <c:axId val="110692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110684240"/>
        <c:crosses val="autoZero"/>
        <c:auto val="1"/>
        <c:lblAlgn val="ctr"/>
        <c:lblOffset val="100"/>
        <c:noMultiLvlLbl val="0"/>
      </c:catAx>
      <c:valAx>
        <c:axId val="110684240"/>
        <c:scaling>
          <c:orientation val="minMax"/>
        </c:scaling>
        <c:delete val="0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110692944"/>
        <c:crosses val="autoZero"/>
        <c:crossBetween val="between"/>
      </c:valAx>
      <c:spPr>
        <a:solidFill>
          <a:schemeClr val="bg1"/>
        </a:solidFill>
        <a:ln w="25400">
          <a:solidFill>
            <a:schemeClr val="accent6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SV" sz="1400" b="0" i="0" u="none" strike="noStrike" baseline="0">
                <a:solidFill>
                  <a:srgbClr val="003366"/>
                </a:solidFill>
                <a:latin typeface="Calibri"/>
                <a:cs typeface="Calibri"/>
              </a:rPr>
              <a:t>Trámites cancelados mes de 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SV" sz="1400" b="0" i="0" u="none" strike="noStrike" baseline="0">
                <a:solidFill>
                  <a:srgbClr val="003366"/>
                </a:solidFill>
                <a:latin typeface="Calibri"/>
                <a:cs typeface="Calibri"/>
              </a:rPr>
              <a:t>ENERO 2024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98"/>
      <c:rotY val="20"/>
      <c:depthPercent val="100"/>
      <c:rAngAx val="0"/>
    </c:view3D>
    <c:floor>
      <c:thickness val="0"/>
    </c:floor>
    <c:sideWall>
      <c:thickness val="0"/>
      <c:spPr>
        <a:solidFill>
          <a:schemeClr val="bg1"/>
        </a:solidFill>
        <a:ln w="25400">
          <a:noFill/>
        </a:ln>
        <a:effectLst/>
      </c:spPr>
    </c:sideWall>
    <c:backWall>
      <c:thickness val="0"/>
      <c:spPr>
        <a:solidFill>
          <a:schemeClr val="bg1"/>
        </a:solidFill>
        <a:ln w="25400">
          <a:noFill/>
        </a:ln>
        <a:effectLst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'RESUMEN MENSUAL'!$E$27</c:f>
              <c:strCache>
                <c:ptCount val="1"/>
                <c:pt idx="0">
                  <c:v>Monto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MENSUAL'!$B$28:$B$38</c:f>
              <c:strCache>
                <c:ptCount val="11"/>
                <c:pt idx="0">
                  <c:v>Seguro de Vida Básico</c:v>
                </c:pt>
                <c:pt idx="1">
                  <c:v>Seguro de Vida Opcional</c:v>
                </c:pt>
                <c:pt idx="2">
                  <c:v>Caso Especial - Seguro de Vida Opcional </c:v>
                </c:pt>
                <c:pt idx="3">
                  <c:v>Pago Doble por muerte accidental </c:v>
                </c:pt>
                <c:pt idx="4">
                  <c:v>Seguro de Vida Dotal</c:v>
                </c:pt>
                <c:pt idx="5">
                  <c:v>Seguro Decreciente de Deuda</c:v>
                </c:pt>
                <c:pt idx="6">
                  <c:v>Ayuda Gastos Funerarios                 </c:v>
                </c:pt>
                <c:pt idx="7">
                  <c:v>Seguro por Sepelio </c:v>
                </c:pt>
                <c:pt idx="8">
                  <c:v>Valores de Rescate</c:v>
                </c:pt>
                <c:pt idx="9">
                  <c:v>Vencimiento de póliza </c:v>
                </c:pt>
                <c:pt idx="10">
                  <c:v>Devolución del 30% </c:v>
                </c:pt>
              </c:strCache>
            </c:strRef>
          </c:cat>
          <c:val>
            <c:numRef>
              <c:f>'RESUMEN MENSUAL'!$E$28:$E$38</c:f>
              <c:numCache>
                <c:formatCode>_("$"* #,##0.00_);_("$"* \(#,##0.00\);_("$"* "-"??_);_(@_)</c:formatCode>
                <c:ptCount val="11"/>
                <c:pt idx="0">
                  <c:v>38879.97</c:v>
                </c:pt>
                <c:pt idx="1">
                  <c:v>107685.81</c:v>
                </c:pt>
                <c:pt idx="2">
                  <c:v>5714.2899999999991</c:v>
                </c:pt>
                <c:pt idx="3">
                  <c:v>0</c:v>
                </c:pt>
                <c:pt idx="4">
                  <c:v>1714.29</c:v>
                </c:pt>
                <c:pt idx="5">
                  <c:v>0</c:v>
                </c:pt>
                <c:pt idx="6">
                  <c:v>6914.2999999999993</c:v>
                </c:pt>
                <c:pt idx="7">
                  <c:v>9142.8799999999992</c:v>
                </c:pt>
                <c:pt idx="8">
                  <c:v>114177.16</c:v>
                </c:pt>
                <c:pt idx="9">
                  <c:v>115428.68</c:v>
                </c:pt>
                <c:pt idx="10">
                  <c:v>17558.11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B-419A-897E-79A5C618E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shape val="box"/>
        <c:axId val="304199072"/>
        <c:axId val="304194720"/>
        <c:axId val="0"/>
      </c:bar3DChart>
      <c:catAx>
        <c:axId val="304199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304194720"/>
        <c:crosses val="autoZero"/>
        <c:auto val="1"/>
        <c:lblAlgn val="ctr"/>
        <c:lblOffset val="100"/>
        <c:noMultiLvlLbl val="0"/>
      </c:catAx>
      <c:valAx>
        <c:axId val="304194720"/>
        <c:scaling>
          <c:orientation val="minMax"/>
        </c:scaling>
        <c:delete val="0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30419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43</xdr:row>
      <xdr:rowOff>123825</xdr:rowOff>
    </xdr:from>
    <xdr:to>
      <xdr:col>9</xdr:col>
      <xdr:colOff>676275</xdr:colOff>
      <xdr:row>76</xdr:row>
      <xdr:rowOff>19050</xdr:rowOff>
    </xdr:to>
    <xdr:graphicFrame macro="">
      <xdr:nvGraphicFramePr>
        <xdr:cNvPr id="299111" name="Gráfico 2">
          <a:extLst>
            <a:ext uri="{FF2B5EF4-FFF2-40B4-BE49-F238E27FC236}">
              <a16:creationId xmlns:a16="http://schemas.microsoft.com/office/drawing/2014/main" id="{00000000-0008-0000-0000-0000679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40</xdr:row>
      <xdr:rowOff>123825</xdr:rowOff>
    </xdr:from>
    <xdr:to>
      <xdr:col>7</xdr:col>
      <xdr:colOff>66675</xdr:colOff>
      <xdr:row>75</xdr:row>
      <xdr:rowOff>38100</xdr:rowOff>
    </xdr:to>
    <xdr:graphicFrame macro="">
      <xdr:nvGraphicFramePr>
        <xdr:cNvPr id="23915" name="Gráfico 2">
          <a:extLst>
            <a:ext uri="{FF2B5EF4-FFF2-40B4-BE49-F238E27FC236}">
              <a16:creationId xmlns:a16="http://schemas.microsoft.com/office/drawing/2014/main" id="{00000000-0008-0000-0100-00006B5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123825</xdr:rowOff>
    </xdr:from>
    <xdr:to>
      <xdr:col>1</xdr:col>
      <xdr:colOff>95250</xdr:colOff>
      <xdr:row>7</xdr:row>
      <xdr:rowOff>28575</xdr:rowOff>
    </xdr:to>
    <xdr:pic>
      <xdr:nvPicPr>
        <xdr:cNvPr id="1845" name="Imagen 2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742950</xdr:colOff>
      <xdr:row>2</xdr:row>
      <xdr:rowOff>161925</xdr:rowOff>
    </xdr:to>
    <xdr:pic>
      <xdr:nvPicPr>
        <xdr:cNvPr id="4916" name="Imagen 2">
          <a:extLst>
            <a:ext uri="{FF2B5EF4-FFF2-40B4-BE49-F238E27FC236}">
              <a16:creationId xmlns:a16="http://schemas.microsoft.com/office/drawing/2014/main" id="{00000000-0008-0000-0300-00003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742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95250</xdr:rowOff>
    </xdr:from>
    <xdr:to>
      <xdr:col>6</xdr:col>
      <xdr:colOff>371475</xdr:colOff>
      <xdr:row>2</xdr:row>
      <xdr:rowOff>152400</xdr:rowOff>
    </xdr:to>
    <xdr:pic>
      <xdr:nvPicPr>
        <xdr:cNvPr id="5940" name="Imagen 2">
          <a:extLst>
            <a:ext uri="{FF2B5EF4-FFF2-40B4-BE49-F238E27FC236}">
              <a16:creationId xmlns:a16="http://schemas.microsoft.com/office/drawing/2014/main" id="{00000000-0008-0000-0400-000034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95250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85725</xdr:rowOff>
    </xdr:from>
    <xdr:to>
      <xdr:col>2</xdr:col>
      <xdr:colOff>9525</xdr:colOff>
      <xdr:row>6</xdr:row>
      <xdr:rowOff>142875</xdr:rowOff>
    </xdr:to>
    <xdr:pic>
      <xdr:nvPicPr>
        <xdr:cNvPr id="6964" name="Imagen 2">
          <a:extLst>
            <a:ext uri="{FF2B5EF4-FFF2-40B4-BE49-F238E27FC236}">
              <a16:creationId xmlns:a16="http://schemas.microsoft.com/office/drawing/2014/main" id="{00000000-0008-0000-0500-000034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334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riza.Rivera\Documents\Documentos%201\JEFATURAS\JEFATURA%20DE%20SEGUROS\2021\JEFATURA%20DE%20SEGUROS\CAPRES%20-%20HUGO\2021%20INFORME%20SEMANAL%20CAPRES%20-%20HU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TOTALES"/>
    </sheetNames>
    <sheetDataSet>
      <sheetData sheetId="0"/>
      <sheetData sheetId="1"/>
      <sheetData sheetId="2">
        <row r="4">
          <cell r="D4">
            <v>52</v>
          </cell>
        </row>
        <row r="6">
          <cell r="D6">
            <v>74</v>
          </cell>
        </row>
        <row r="10">
          <cell r="D10">
            <v>28</v>
          </cell>
        </row>
        <row r="12">
          <cell r="D12">
            <v>3</v>
          </cell>
        </row>
        <row r="14">
          <cell r="D1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L66"/>
  <sheetViews>
    <sheetView topLeftCell="A10" zoomScale="124" zoomScaleNormal="124" workbookViewId="0">
      <selection activeCell="E9" sqref="E9"/>
    </sheetView>
  </sheetViews>
  <sheetFormatPr baseColWidth="10" defaultRowHeight="12.75" x14ac:dyDescent="0.2"/>
  <cols>
    <col min="2" max="2" width="30.140625" customWidth="1"/>
    <col min="3" max="3" width="14.140625" customWidth="1"/>
    <col min="4" max="4" width="18" customWidth="1"/>
    <col min="5" max="5" width="16.5703125" customWidth="1"/>
    <col min="6" max="6" width="14.85546875" customWidth="1"/>
    <col min="7" max="7" width="12.28515625" bestFit="1" customWidth="1"/>
    <col min="9" max="9" width="22.140625" customWidth="1"/>
  </cols>
  <sheetData>
    <row r="6" spans="2:9" x14ac:dyDescent="0.2">
      <c r="B6" s="119" t="s">
        <v>78</v>
      </c>
      <c r="C6" s="183">
        <f>'1. RESUMEN DE PAGADOS '!B21+'1. RESUMEN DE PAGADOS '!C21</f>
        <v>0</v>
      </c>
      <c r="D6" s="113"/>
      <c r="E6" s="186"/>
      <c r="F6" s="114"/>
    </row>
    <row r="7" spans="2:9" ht="13.5" thickBot="1" x14ac:dyDescent="0.25"/>
    <row r="8" spans="2:9" ht="39" thickBot="1" x14ac:dyDescent="0.25">
      <c r="B8" s="107" t="s">
        <v>48</v>
      </c>
      <c r="C8" s="107" t="s">
        <v>50</v>
      </c>
      <c r="D8" s="107" t="s">
        <v>77</v>
      </c>
      <c r="E8" s="107" t="s">
        <v>49</v>
      </c>
      <c r="F8" s="187" t="s">
        <v>58</v>
      </c>
    </row>
    <row r="9" spans="2:9" ht="15.75" customHeight="1" x14ac:dyDescent="0.2">
      <c r="B9" s="196" t="s">
        <v>51</v>
      </c>
      <c r="C9" s="109">
        <v>152</v>
      </c>
      <c r="D9" s="109">
        <v>0</v>
      </c>
      <c r="E9" s="193">
        <f>'1. RESUMEN DE PAGADOS '!G23</f>
        <v>38879.97</v>
      </c>
      <c r="F9" s="190">
        <f>E9/E19</f>
        <v>0.2286363887089761</v>
      </c>
    </row>
    <row r="10" spans="2:9" x14ac:dyDescent="0.2">
      <c r="B10" s="143" t="s">
        <v>52</v>
      </c>
      <c r="C10" s="188">
        <v>248</v>
      </c>
      <c r="D10" s="113">
        <v>0</v>
      </c>
      <c r="E10" s="193">
        <f>'1. RESUMEN DE PAGADOS '!H23</f>
        <v>107685.81</v>
      </c>
      <c r="F10" s="191">
        <f>E10/E19</f>
        <v>0.63325395347786906</v>
      </c>
    </row>
    <row r="11" spans="2:9" ht="25.5" x14ac:dyDescent="0.2">
      <c r="B11" s="143" t="s">
        <v>81</v>
      </c>
      <c r="C11" s="188">
        <v>8</v>
      </c>
      <c r="D11" s="113">
        <v>0</v>
      </c>
      <c r="E11" s="193">
        <f>'1. RESUMEN DE PAGADOS '!I23</f>
        <v>5714.2899999999991</v>
      </c>
      <c r="F11" s="191">
        <f>E11/E19</f>
        <v>3.3603282863536539E-2</v>
      </c>
    </row>
    <row r="12" spans="2:9" ht="25.5" x14ac:dyDescent="0.2">
      <c r="B12" s="143" t="s">
        <v>72</v>
      </c>
      <c r="C12" s="189">
        <v>2</v>
      </c>
      <c r="D12" s="184">
        <v>0</v>
      </c>
      <c r="E12" s="193">
        <f>'1. RESUMEN DE PAGADOS '!K23</f>
        <v>0</v>
      </c>
      <c r="F12" s="191">
        <f>E12/E19</f>
        <v>0</v>
      </c>
    </row>
    <row r="13" spans="2:9" x14ac:dyDescent="0.2">
      <c r="B13" s="143" t="s">
        <v>53</v>
      </c>
      <c r="C13" s="113">
        <v>8</v>
      </c>
      <c r="D13" s="109">
        <v>0</v>
      </c>
      <c r="E13" s="193">
        <f>'1. RESUMEN DE PAGADOS '!M23</f>
        <v>1714.29</v>
      </c>
      <c r="F13" s="191">
        <f>E13/E19</f>
        <v>1.0081002500771236E-2</v>
      </c>
    </row>
    <row r="14" spans="2:9" x14ac:dyDescent="0.2">
      <c r="B14" s="143" t="s">
        <v>67</v>
      </c>
      <c r="C14" s="113">
        <v>9</v>
      </c>
      <c r="D14" s="113">
        <v>0</v>
      </c>
      <c r="E14" s="194">
        <f>'1. RESUMEN DE PAGADOS '!O23</f>
        <v>0</v>
      </c>
      <c r="F14" s="191">
        <f>E14/E19</f>
        <v>0</v>
      </c>
      <c r="I14" s="101">
        <f>E9+E10+E13</f>
        <v>148280.07</v>
      </c>
    </row>
    <row r="15" spans="2:9" ht="13.5" thickBot="1" x14ac:dyDescent="0.25">
      <c r="B15" s="197" t="s">
        <v>70</v>
      </c>
      <c r="C15" s="185">
        <f>C9+C10+C11+C12+C13+C14</f>
        <v>427</v>
      </c>
      <c r="D15" s="185">
        <f>D9+D10+D11+D12+D13+D14</f>
        <v>0</v>
      </c>
      <c r="E15" s="195">
        <f>SUM(E9:E14)</f>
        <v>153994.36000000002</v>
      </c>
      <c r="F15" s="192"/>
    </row>
    <row r="16" spans="2:9" ht="13.5" thickBot="1" x14ac:dyDescent="0.25">
      <c r="B16" s="121" t="s">
        <v>76</v>
      </c>
      <c r="C16" s="180">
        <v>16</v>
      </c>
      <c r="D16" s="200">
        <v>31</v>
      </c>
      <c r="E16" s="193">
        <f>'1. RESUMEN DE PAGADOS '!J23</f>
        <v>6914.2999999999993</v>
      </c>
      <c r="F16" s="139">
        <f>E16/E19</f>
        <v>4.0660025778067044E-2</v>
      </c>
      <c r="H16">
        <f>C9+C10+C11+C12+C13+C14</f>
        <v>427</v>
      </c>
    </row>
    <row r="17" spans="2:9" ht="13.5" thickBot="1" x14ac:dyDescent="0.25">
      <c r="B17" s="120" t="s">
        <v>69</v>
      </c>
      <c r="C17" s="198">
        <v>12</v>
      </c>
      <c r="D17" s="201">
        <v>12</v>
      </c>
      <c r="E17" s="216">
        <f>'1. RESUMEN DE PAGADOS '!N23</f>
        <v>9142.8799999999992</v>
      </c>
      <c r="F17" s="141">
        <f>E17/E19</f>
        <v>5.3765346670779923E-2</v>
      </c>
      <c r="I17" s="101"/>
    </row>
    <row r="18" spans="2:9" ht="13.5" thickBot="1" x14ac:dyDescent="0.25">
      <c r="B18" s="202" t="s">
        <v>70</v>
      </c>
      <c r="C18" s="203">
        <f>C16+C17</f>
        <v>28</v>
      </c>
      <c r="D18" s="204">
        <f>D16+D17</f>
        <v>43</v>
      </c>
      <c r="E18" s="217">
        <f>E16+E17</f>
        <v>16057.179999999998</v>
      </c>
      <c r="F18" s="138"/>
    </row>
    <row r="19" spans="2:9" ht="13.5" thickBot="1" x14ac:dyDescent="0.25">
      <c r="B19" s="107" t="s">
        <v>0</v>
      </c>
      <c r="C19" s="100">
        <f>C15+C18</f>
        <v>455</v>
      </c>
      <c r="D19" s="181">
        <f>D15+D18</f>
        <v>43</v>
      </c>
      <c r="E19" s="218">
        <f>E15+E18</f>
        <v>170051.54</v>
      </c>
      <c r="F19" s="116">
        <f>SUM(F9:F17)</f>
        <v>0.99999999999999989</v>
      </c>
    </row>
    <row r="20" spans="2:9" ht="15" customHeight="1" thickBot="1" x14ac:dyDescent="0.25">
      <c r="B20" s="258"/>
      <c r="C20" s="259"/>
      <c r="D20" s="259"/>
      <c r="E20" s="259"/>
      <c r="F20" s="260"/>
    </row>
    <row r="21" spans="2:9" ht="39" thickBot="1" x14ac:dyDescent="0.25">
      <c r="B21" s="107" t="s">
        <v>74</v>
      </c>
      <c r="C21" s="107" t="s">
        <v>50</v>
      </c>
      <c r="D21" s="107" t="s">
        <v>80</v>
      </c>
      <c r="E21" s="107" t="s">
        <v>49</v>
      </c>
      <c r="F21" s="107" t="s">
        <v>58</v>
      </c>
    </row>
    <row r="22" spans="2:9" x14ac:dyDescent="0.2">
      <c r="B22" s="108" t="s">
        <v>54</v>
      </c>
      <c r="C22" s="109">
        <f>'3. COMP VR'!B21</f>
        <v>99</v>
      </c>
      <c r="D22" s="180">
        <f>C22</f>
        <v>99</v>
      </c>
      <c r="E22" s="110">
        <f>'3. COMP VR'!C21+'3. COMP VR'!E21</f>
        <v>114177.16</v>
      </c>
      <c r="F22" s="111">
        <f>E22/E25</f>
        <v>0.4619490827849288</v>
      </c>
    </row>
    <row r="23" spans="2:9" x14ac:dyDescent="0.2">
      <c r="B23" s="117" t="s">
        <v>55</v>
      </c>
      <c r="C23" s="113">
        <f>'4. COMP VP'!C24</f>
        <v>65</v>
      </c>
      <c r="D23" s="180">
        <f>C23</f>
        <v>65</v>
      </c>
      <c r="E23" s="110">
        <f>'4. COMP VP'!D24+'4. COMP VP'!F24</f>
        <v>115428.68</v>
      </c>
      <c r="F23" s="114">
        <f>E23/E25</f>
        <v>0.46701260438668335</v>
      </c>
    </row>
    <row r="24" spans="2:9" ht="13.5" thickBot="1" x14ac:dyDescent="0.25">
      <c r="B24" s="112" t="s">
        <v>56</v>
      </c>
      <c r="C24" s="113">
        <f>'2. COMPR DEV 30%'!B21</f>
        <v>41</v>
      </c>
      <c r="D24" s="180">
        <f>C24</f>
        <v>41</v>
      </c>
      <c r="E24" s="110">
        <f>'2. COMPR DEV 30%'!C21+'2. COMPR DEV 30%'!E21</f>
        <v>17558.11</v>
      </c>
      <c r="F24" s="115">
        <f>E24/E25</f>
        <v>7.1038312828387795E-2</v>
      </c>
      <c r="G24" s="101"/>
    </row>
    <row r="25" spans="2:9" ht="13.5" thickBot="1" x14ac:dyDescent="0.25">
      <c r="B25" s="107" t="s">
        <v>0</v>
      </c>
      <c r="C25" s="100">
        <f>C22+C23+C24</f>
        <v>205</v>
      </c>
      <c r="D25" s="100">
        <f>D22+D23+D24</f>
        <v>205</v>
      </c>
      <c r="E25" s="102">
        <f>E22+E23+E24</f>
        <v>247163.95</v>
      </c>
      <c r="F25" s="116">
        <f>SUM(F22:F24)</f>
        <v>1</v>
      </c>
    </row>
    <row r="26" spans="2:9" ht="13.5" customHeight="1" thickBot="1" x14ac:dyDescent="0.25">
      <c r="B26" s="261" t="s">
        <v>57</v>
      </c>
      <c r="C26" s="262"/>
      <c r="D26" s="262"/>
      <c r="E26" s="262"/>
      <c r="F26" s="263"/>
    </row>
    <row r="27" spans="2:9" ht="15.75" customHeight="1" thickBot="1" x14ac:dyDescent="0.25">
      <c r="B27" s="107" t="s">
        <v>40</v>
      </c>
      <c r="C27" s="207">
        <f>C19+C25</f>
        <v>660</v>
      </c>
      <c r="D27" s="207">
        <f>D19+D25</f>
        <v>248</v>
      </c>
      <c r="E27" s="206">
        <f>E25+E19</f>
        <v>417215.49</v>
      </c>
      <c r="F27" s="205"/>
    </row>
    <row r="28" spans="2:9" ht="15" x14ac:dyDescent="0.2">
      <c r="B28" s="160"/>
      <c r="C28" s="160"/>
      <c r="D28" s="160"/>
      <c r="E28" s="160"/>
      <c r="F28" s="161"/>
    </row>
    <row r="29" spans="2:9" ht="15.75" thickBot="1" x14ac:dyDescent="0.25">
      <c r="B29" s="85"/>
      <c r="C29" s="106"/>
      <c r="D29" s="106"/>
      <c r="E29" s="103"/>
      <c r="F29" s="161"/>
    </row>
    <row r="30" spans="2:9" ht="45.75" thickBot="1" x14ac:dyDescent="0.25">
      <c r="B30" s="162" t="s">
        <v>48</v>
      </c>
      <c r="C30" s="163" t="s">
        <v>50</v>
      </c>
      <c r="D30" s="182" t="s">
        <v>79</v>
      </c>
      <c r="E30" s="162" t="s">
        <v>49</v>
      </c>
      <c r="F30" s="162" t="s">
        <v>58</v>
      </c>
    </row>
    <row r="31" spans="2:9" ht="15" x14ac:dyDescent="0.2">
      <c r="B31" s="148" t="s">
        <v>51</v>
      </c>
      <c r="C31" s="149">
        <f>C9</f>
        <v>152</v>
      </c>
      <c r="D31" s="149">
        <f>D9</f>
        <v>0</v>
      </c>
      <c r="E31" s="151">
        <f>E9</f>
        <v>38879.97</v>
      </c>
      <c r="F31" s="154">
        <f>E31/E42</f>
        <v>9.3189181446738711E-2</v>
      </c>
    </row>
    <row r="32" spans="2:9" ht="15" x14ac:dyDescent="0.2">
      <c r="B32" s="142" t="s">
        <v>52</v>
      </c>
      <c r="C32" s="82">
        <f t="shared" ref="C32:E36" si="0">C10</f>
        <v>248</v>
      </c>
      <c r="D32" s="82">
        <f>D10</f>
        <v>0</v>
      </c>
      <c r="E32" s="152">
        <f t="shared" si="0"/>
        <v>107685.81</v>
      </c>
      <c r="F32" s="86">
        <f>E32/E42</f>
        <v>0.25810597300689869</v>
      </c>
    </row>
    <row r="33" spans="2:9" ht="25.5" hidden="1" x14ac:dyDescent="0.2">
      <c r="B33" s="143" t="s">
        <v>75</v>
      </c>
      <c r="C33" s="82">
        <f>C11</f>
        <v>8</v>
      </c>
      <c r="D33" s="82">
        <f>D11</f>
        <v>0</v>
      </c>
      <c r="E33" s="152">
        <f t="shared" si="0"/>
        <v>5714.2899999999991</v>
      </c>
      <c r="F33" s="86">
        <f>E33/E42</f>
        <v>1.3696255620806407E-2</v>
      </c>
    </row>
    <row r="34" spans="2:9" ht="19.5" hidden="1" customHeight="1" x14ac:dyDescent="0.2">
      <c r="B34" s="142" t="s">
        <v>72</v>
      </c>
      <c r="C34" s="82">
        <f t="shared" si="0"/>
        <v>2</v>
      </c>
      <c r="D34" s="82">
        <f>D12</f>
        <v>0</v>
      </c>
      <c r="E34" s="152">
        <f t="shared" si="0"/>
        <v>0</v>
      </c>
      <c r="F34" s="86">
        <f>E34/E42</f>
        <v>0</v>
      </c>
    </row>
    <row r="35" spans="2:9" ht="15" x14ac:dyDescent="0.2">
      <c r="B35" s="142" t="s">
        <v>53</v>
      </c>
      <c r="C35" s="82">
        <f t="shared" si="0"/>
        <v>8</v>
      </c>
      <c r="D35" s="82">
        <f>D13</f>
        <v>0</v>
      </c>
      <c r="E35" s="152">
        <f>E13</f>
        <v>1714.29</v>
      </c>
      <c r="F35" s="86">
        <f>E35/E42</f>
        <v>4.1088838767707305E-3</v>
      </c>
    </row>
    <row r="36" spans="2:9" ht="30" x14ac:dyDescent="0.2">
      <c r="B36" s="142" t="s">
        <v>67</v>
      </c>
      <c r="C36" s="82">
        <f t="shared" si="0"/>
        <v>9</v>
      </c>
      <c r="D36" s="82">
        <f>D14</f>
        <v>0</v>
      </c>
      <c r="E36" s="152">
        <f t="shared" si="0"/>
        <v>0</v>
      </c>
      <c r="F36" s="86">
        <f>E36/E42</f>
        <v>0</v>
      </c>
    </row>
    <row r="37" spans="2:9" ht="15" x14ac:dyDescent="0.2">
      <c r="B37" s="142" t="s">
        <v>68</v>
      </c>
      <c r="C37" s="82">
        <f t="shared" ref="C37:E38" si="1">C16</f>
        <v>16</v>
      </c>
      <c r="D37" s="82">
        <f t="shared" si="1"/>
        <v>31</v>
      </c>
      <c r="E37" s="152">
        <f t="shared" si="1"/>
        <v>6914.2999999999993</v>
      </c>
      <c r="F37" s="86">
        <f>E37/E42</f>
        <v>1.657249111244647E-2</v>
      </c>
    </row>
    <row r="38" spans="2:9" ht="15" x14ac:dyDescent="0.2">
      <c r="B38" s="144" t="s">
        <v>69</v>
      </c>
      <c r="C38" s="150">
        <f t="shared" si="1"/>
        <v>12</v>
      </c>
      <c r="D38" s="150">
        <f t="shared" si="1"/>
        <v>12</v>
      </c>
      <c r="E38" s="152">
        <f t="shared" si="1"/>
        <v>9142.8799999999992</v>
      </c>
      <c r="F38" s="86">
        <f>E38/E42</f>
        <v>2.1914047342777229E-2</v>
      </c>
    </row>
    <row r="39" spans="2:9" ht="15" x14ac:dyDescent="0.2">
      <c r="B39" s="208" t="s">
        <v>54</v>
      </c>
      <c r="C39" s="82">
        <f t="shared" ref="C39:E41" si="2">C22</f>
        <v>99</v>
      </c>
      <c r="D39" s="82">
        <f t="shared" si="2"/>
        <v>99</v>
      </c>
      <c r="E39" s="153">
        <f t="shared" si="2"/>
        <v>114177.16</v>
      </c>
      <c r="F39" s="86">
        <f>E39/E42</f>
        <v>0.27366471939956016</v>
      </c>
    </row>
    <row r="40" spans="2:9" ht="15" x14ac:dyDescent="0.2">
      <c r="B40" s="145" t="s">
        <v>55</v>
      </c>
      <c r="C40" s="82">
        <f t="shared" si="2"/>
        <v>65</v>
      </c>
      <c r="D40" s="82">
        <f t="shared" si="2"/>
        <v>65</v>
      </c>
      <c r="E40" s="153">
        <f t="shared" si="2"/>
        <v>115428.68</v>
      </c>
      <c r="F40" s="86">
        <f>E40/E42</f>
        <v>0.27666441627083405</v>
      </c>
    </row>
    <row r="41" spans="2:9" ht="15.75" thickBot="1" x14ac:dyDescent="0.3">
      <c r="B41" s="146" t="s">
        <v>56</v>
      </c>
      <c r="C41" s="155">
        <f t="shared" si="2"/>
        <v>41</v>
      </c>
      <c r="D41" s="155">
        <f t="shared" si="2"/>
        <v>41</v>
      </c>
      <c r="E41" s="156">
        <f t="shared" si="2"/>
        <v>17558.11</v>
      </c>
      <c r="F41" s="147">
        <f>E41/E42</f>
        <v>4.2084031923167571E-2</v>
      </c>
    </row>
    <row r="42" spans="2:9" ht="15.75" thickBot="1" x14ac:dyDescent="0.25">
      <c r="B42" s="84" t="s">
        <v>0</v>
      </c>
      <c r="C42" s="83">
        <f>SUM(C31:C41)</f>
        <v>660</v>
      </c>
      <c r="D42" s="83">
        <f>SUM(D31:D41)</f>
        <v>248</v>
      </c>
      <c r="E42" s="157">
        <f>SUM(E31:E41)</f>
        <v>417215.49</v>
      </c>
      <c r="F42" s="159">
        <f>SUM(F31:F41)</f>
        <v>1</v>
      </c>
      <c r="G42" s="13"/>
      <c r="H42" s="10"/>
      <c r="I42" s="101">
        <f>E42-'1. RESUMEN DE PAGADOS '!Q23</f>
        <v>0</v>
      </c>
    </row>
    <row r="43" spans="2:9" ht="15" x14ac:dyDescent="0.2">
      <c r="B43" s="85"/>
      <c r="C43" s="85"/>
      <c r="D43" s="85"/>
      <c r="E43" s="85"/>
    </row>
    <row r="66" spans="12:12" x14ac:dyDescent="0.2">
      <c r="L66" s="1"/>
    </row>
  </sheetData>
  <mergeCells count="2">
    <mergeCell ref="B20:F20"/>
    <mergeCell ref="B26:F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40"/>
  <sheetViews>
    <sheetView tabSelected="1" zoomScale="98" zoomScaleNormal="98" workbookViewId="0">
      <selection activeCell="E3" sqref="E3"/>
    </sheetView>
  </sheetViews>
  <sheetFormatPr baseColWidth="10" defaultRowHeight="12.75" x14ac:dyDescent="0.2"/>
  <cols>
    <col min="2" max="2" width="30.140625" customWidth="1"/>
    <col min="3" max="4" width="18" hidden="1" customWidth="1"/>
    <col min="5" max="5" width="16.5703125" customWidth="1"/>
    <col min="6" max="6" width="14.85546875" customWidth="1"/>
    <col min="7" max="7" width="12.28515625" bestFit="1" customWidth="1"/>
    <col min="9" max="9" width="12.28515625" bestFit="1" customWidth="1"/>
  </cols>
  <sheetData>
    <row r="3" spans="2:9" x14ac:dyDescent="0.2">
      <c r="B3" s="119" t="s">
        <v>78</v>
      </c>
      <c r="C3" s="183">
        <f>'1. RESUMEN DE PAGADOS '!B22+'1. RESUMEN DE PAGADOS '!C22</f>
        <v>0</v>
      </c>
      <c r="D3" s="113"/>
      <c r="E3" s="235">
        <f>SUM('1. RESUMEN DE PAGADOS '!E11+'1. RESUMEN DE PAGADOS '!F11)</f>
        <v>45</v>
      </c>
      <c r="F3" s="114"/>
    </row>
    <row r="4" spans="2:9" ht="13.5" thickBot="1" x14ac:dyDescent="0.25"/>
    <row r="5" spans="2:9" ht="39" thickBot="1" x14ac:dyDescent="0.25">
      <c r="B5" s="212" t="s">
        <v>48</v>
      </c>
      <c r="C5" s="107" t="s">
        <v>50</v>
      </c>
      <c r="D5" s="107" t="s">
        <v>77</v>
      </c>
      <c r="E5" s="107" t="s">
        <v>49</v>
      </c>
      <c r="F5" s="187" t="s">
        <v>58</v>
      </c>
    </row>
    <row r="6" spans="2:9" ht="15.75" customHeight="1" x14ac:dyDescent="0.2">
      <c r="B6" s="211" t="s">
        <v>51</v>
      </c>
      <c r="C6" s="109">
        <f>6+11+2+4</f>
        <v>23</v>
      </c>
      <c r="D6" s="109">
        <f>[1]TOTALES!$D$4</f>
        <v>52</v>
      </c>
      <c r="E6" s="193">
        <f>'1. RESUMEN DE PAGADOS '!G11</f>
        <v>38879.97</v>
      </c>
      <c r="F6" s="190">
        <f>E6/E16</f>
        <v>0.2286363887089761</v>
      </c>
    </row>
    <row r="7" spans="2:9" x14ac:dyDescent="0.2">
      <c r="B7" s="143" t="s">
        <v>52</v>
      </c>
      <c r="C7" s="188">
        <f>10+10+7+8</f>
        <v>35</v>
      </c>
      <c r="D7" s="113">
        <f>[1]TOTALES!$D$6</f>
        <v>74</v>
      </c>
      <c r="E7" s="193">
        <f>'1. RESUMEN DE PAGADOS '!H11</f>
        <v>107685.81</v>
      </c>
      <c r="F7" s="191">
        <f>E7/E16</f>
        <v>0.63325395347786906</v>
      </c>
    </row>
    <row r="8" spans="2:9" ht="25.5" x14ac:dyDescent="0.2">
      <c r="B8" s="143" t="s">
        <v>81</v>
      </c>
      <c r="C8" s="188">
        <f>1+1+1+1+1</f>
        <v>5</v>
      </c>
      <c r="D8" s="113">
        <f>7</f>
        <v>7</v>
      </c>
      <c r="E8" s="193">
        <f>'1. RESUMEN DE PAGADOS '!I11</f>
        <v>5714.2899999999991</v>
      </c>
      <c r="F8" s="191">
        <f>E8/E16</f>
        <v>3.3603282863536539E-2</v>
      </c>
    </row>
    <row r="9" spans="2:9" ht="25.5" x14ac:dyDescent="0.2">
      <c r="B9" s="143" t="s">
        <v>72</v>
      </c>
      <c r="C9" s="189">
        <v>0</v>
      </c>
      <c r="D9" s="184">
        <v>2</v>
      </c>
      <c r="E9" s="193">
        <f>'1. RESUMEN DE PAGADOS '!K11</f>
        <v>0</v>
      </c>
      <c r="F9" s="191">
        <f>E9/E16</f>
        <v>0</v>
      </c>
    </row>
    <row r="10" spans="2:9" x14ac:dyDescent="0.2">
      <c r="B10" s="143" t="s">
        <v>53</v>
      </c>
      <c r="C10" s="113">
        <f>1+1</f>
        <v>2</v>
      </c>
      <c r="D10" s="109">
        <f>[1]TOTALES!$D$12</f>
        <v>3</v>
      </c>
      <c r="E10" s="193">
        <f>'1. RESUMEN DE PAGADOS '!M11</f>
        <v>1714.29</v>
      </c>
      <c r="F10" s="191">
        <f>E10/E16</f>
        <v>1.0081002500771236E-2</v>
      </c>
    </row>
    <row r="11" spans="2:9" x14ac:dyDescent="0.2">
      <c r="B11" s="143" t="s">
        <v>67</v>
      </c>
      <c r="C11" s="113">
        <v>0</v>
      </c>
      <c r="D11" s="113">
        <f>[1]TOTALES!$D$14</f>
        <v>2</v>
      </c>
      <c r="E11" s="194">
        <f>'1. RESUMEN DE PAGADOS '!O11</f>
        <v>0</v>
      </c>
      <c r="F11" s="191">
        <f>E11/E16</f>
        <v>0</v>
      </c>
      <c r="I11" s="101"/>
    </row>
    <row r="12" spans="2:9" ht="13.5" thickBot="1" x14ac:dyDescent="0.25">
      <c r="B12" s="197" t="s">
        <v>70</v>
      </c>
      <c r="C12" s="185">
        <f>C6+C7+C8+C9+C10+C11</f>
        <v>65</v>
      </c>
      <c r="D12" s="185">
        <f>D6+D7+D8+D9+D10+D11</f>
        <v>140</v>
      </c>
      <c r="E12" s="195">
        <f>SUM(E6:E11)</f>
        <v>153994.36000000002</v>
      </c>
      <c r="F12" s="192"/>
    </row>
    <row r="13" spans="2:9" ht="13.5" thickBot="1" x14ac:dyDescent="0.25">
      <c r="B13" s="121" t="s">
        <v>76</v>
      </c>
      <c r="C13" s="180">
        <v>11</v>
      </c>
      <c r="D13" s="200">
        <f>[1]TOTALES!$D$10</f>
        <v>28</v>
      </c>
      <c r="E13" s="118">
        <f>'1. RESUMEN DE PAGADOS '!J11</f>
        <v>6914.2999999999993</v>
      </c>
      <c r="F13" s="139">
        <f>E13/E16</f>
        <v>4.0660025778067044E-2</v>
      </c>
    </row>
    <row r="14" spans="2:9" ht="13.5" thickBot="1" x14ac:dyDescent="0.25">
      <c r="B14" s="120" t="s">
        <v>69</v>
      </c>
      <c r="C14" s="198">
        <v>12</v>
      </c>
      <c r="D14" s="201">
        <v>12</v>
      </c>
      <c r="E14" s="137">
        <f>'1. RESUMEN DE PAGADOS '!N11</f>
        <v>9142.8799999999992</v>
      </c>
      <c r="F14" s="141">
        <f>E14/E16</f>
        <v>5.3765346670779923E-2</v>
      </c>
      <c r="I14" s="101"/>
    </row>
    <row r="15" spans="2:9" ht="13.5" thickBot="1" x14ac:dyDescent="0.25">
      <c r="B15" s="202" t="s">
        <v>70</v>
      </c>
      <c r="C15" s="203">
        <f>C13+C14</f>
        <v>23</v>
      </c>
      <c r="D15" s="204">
        <f>D13+D14</f>
        <v>40</v>
      </c>
      <c r="E15" s="199">
        <f>E13+E14</f>
        <v>16057.179999999998</v>
      </c>
      <c r="F15" s="138"/>
    </row>
    <row r="16" spans="2:9" ht="13.5" thickBot="1" x14ac:dyDescent="0.25">
      <c r="B16" s="107" t="s">
        <v>0</v>
      </c>
      <c r="C16" s="100">
        <f>C12+C15</f>
        <v>88</v>
      </c>
      <c r="D16" s="181">
        <f>D12+D15</f>
        <v>180</v>
      </c>
      <c r="E16" s="140">
        <f>E12+E15</f>
        <v>170051.54</v>
      </c>
      <c r="F16" s="116">
        <f>SUM(F6:F14)</f>
        <v>0.99999999999999989</v>
      </c>
    </row>
    <row r="17" spans="2:7" ht="15" customHeight="1" thickBot="1" x14ac:dyDescent="0.25">
      <c r="B17" s="258"/>
      <c r="C17" s="259"/>
      <c r="D17" s="259"/>
      <c r="E17" s="259"/>
      <c r="F17" s="260"/>
    </row>
    <row r="18" spans="2:7" ht="39" thickBot="1" x14ac:dyDescent="0.25">
      <c r="B18" s="107" t="s">
        <v>74</v>
      </c>
      <c r="C18" s="107" t="s">
        <v>50</v>
      </c>
      <c r="D18" s="107" t="s">
        <v>80</v>
      </c>
      <c r="E18" s="107" t="s">
        <v>49</v>
      </c>
      <c r="F18" s="107" t="s">
        <v>58</v>
      </c>
    </row>
    <row r="19" spans="2:7" x14ac:dyDescent="0.2">
      <c r="B19" s="108" t="s">
        <v>54</v>
      </c>
      <c r="C19" s="109">
        <f>'3. COMP VR'!B20</f>
        <v>0</v>
      </c>
      <c r="D19" s="180">
        <f>'3. COMP VR'!B9</f>
        <v>99</v>
      </c>
      <c r="E19" s="110">
        <f>'3. COMP VR'!E9+'3. COMP VR'!C9</f>
        <v>114177.16</v>
      </c>
      <c r="F19" s="111">
        <f>E19/E22</f>
        <v>0.4619490827849288</v>
      </c>
    </row>
    <row r="20" spans="2:7" x14ac:dyDescent="0.2">
      <c r="B20" s="117" t="s">
        <v>55</v>
      </c>
      <c r="C20" s="113">
        <f>'4. COMP VP'!C23</f>
        <v>0</v>
      </c>
      <c r="D20" s="180">
        <f>'4. COMP VP'!C12</f>
        <v>65</v>
      </c>
      <c r="E20" s="110">
        <f>'4. COMP VP'!D12+'4. COMP VP'!F12</f>
        <v>115428.68</v>
      </c>
      <c r="F20" s="114">
        <f>E20/E22</f>
        <v>0.46701260438668335</v>
      </c>
    </row>
    <row r="21" spans="2:7" ht="13.5" thickBot="1" x14ac:dyDescent="0.25">
      <c r="B21" s="112" t="s">
        <v>56</v>
      </c>
      <c r="C21" s="113">
        <f>'2. COMPR DEV 30%'!B20</f>
        <v>0</v>
      </c>
      <c r="D21" s="180">
        <f>'2. COMPR DEV 30%'!B9</f>
        <v>41</v>
      </c>
      <c r="E21" s="110">
        <f>'2. COMPR DEV 30%'!C9+'2. COMPR DEV 30%'!E9</f>
        <v>17558.11</v>
      </c>
      <c r="F21" s="115">
        <f>E21/E22</f>
        <v>7.1038312828387795E-2</v>
      </c>
      <c r="G21" s="101"/>
    </row>
    <row r="22" spans="2:7" ht="13.5" thickBot="1" x14ac:dyDescent="0.25">
      <c r="B22" s="107" t="s">
        <v>0</v>
      </c>
      <c r="C22" s="100">
        <f>C19+C20+C21</f>
        <v>0</v>
      </c>
      <c r="D22" s="100">
        <f>D19+D20+D21</f>
        <v>205</v>
      </c>
      <c r="E22" s="102">
        <f>E19+E20+E21</f>
        <v>247163.95</v>
      </c>
      <c r="F22" s="116">
        <f>SUM(F19:F21)</f>
        <v>1</v>
      </c>
    </row>
    <row r="23" spans="2:7" ht="13.5" customHeight="1" thickBot="1" x14ac:dyDescent="0.25">
      <c r="B23" s="261" t="s">
        <v>57</v>
      </c>
      <c r="C23" s="262"/>
      <c r="D23" s="262"/>
      <c r="E23" s="262"/>
      <c r="F23" s="263"/>
    </row>
    <row r="24" spans="2:7" ht="15.75" customHeight="1" thickBot="1" x14ac:dyDescent="0.25">
      <c r="B24" s="107" t="s">
        <v>40</v>
      </c>
      <c r="C24" s="207">
        <f>C16+C22</f>
        <v>88</v>
      </c>
      <c r="D24" s="207">
        <f>D16+D22</f>
        <v>385</v>
      </c>
      <c r="E24" s="206">
        <f>E22+E16</f>
        <v>417215.49</v>
      </c>
      <c r="F24" s="205"/>
    </row>
    <row r="25" spans="2:7" ht="15" x14ac:dyDescent="0.2">
      <c r="B25" s="160"/>
      <c r="C25" s="160"/>
      <c r="D25" s="160"/>
      <c r="E25" s="160"/>
      <c r="F25" s="161"/>
    </row>
    <row r="26" spans="2:7" ht="15.75" thickBot="1" x14ac:dyDescent="0.25">
      <c r="B26" s="85"/>
      <c r="C26" s="106"/>
      <c r="D26" s="106"/>
      <c r="E26" s="103"/>
      <c r="F26" s="161"/>
    </row>
    <row r="27" spans="2:7" ht="45.75" thickBot="1" x14ac:dyDescent="0.25">
      <c r="B27" s="162" t="s">
        <v>48</v>
      </c>
      <c r="C27" s="163" t="s">
        <v>50</v>
      </c>
      <c r="D27" s="182" t="s">
        <v>79</v>
      </c>
      <c r="E27" s="84" t="s">
        <v>49</v>
      </c>
      <c r="F27" s="162" t="s">
        <v>58</v>
      </c>
    </row>
    <row r="28" spans="2:7" ht="15" x14ac:dyDescent="0.2">
      <c r="B28" s="148" t="s">
        <v>51</v>
      </c>
      <c r="C28" s="149">
        <f>C6</f>
        <v>23</v>
      </c>
      <c r="D28" s="149">
        <f>D6</f>
        <v>52</v>
      </c>
      <c r="E28" s="151">
        <f>E6</f>
        <v>38879.97</v>
      </c>
      <c r="F28" s="154">
        <f>E28/E39</f>
        <v>9.3189181446738711E-2</v>
      </c>
    </row>
    <row r="29" spans="2:7" ht="15" x14ac:dyDescent="0.2">
      <c r="B29" s="142" t="s">
        <v>52</v>
      </c>
      <c r="C29" s="82">
        <f t="shared" ref="C29:E33" si="0">C7</f>
        <v>35</v>
      </c>
      <c r="D29" s="82">
        <f>D7</f>
        <v>74</v>
      </c>
      <c r="E29" s="152">
        <f t="shared" si="0"/>
        <v>107685.81</v>
      </c>
      <c r="F29" s="86">
        <f>E29/E39</f>
        <v>0.25810597300689869</v>
      </c>
    </row>
    <row r="30" spans="2:7" ht="25.5" x14ac:dyDescent="0.2">
      <c r="B30" s="143" t="s">
        <v>75</v>
      </c>
      <c r="C30" s="82">
        <f>C8</f>
        <v>5</v>
      </c>
      <c r="D30" s="82">
        <f>D8</f>
        <v>7</v>
      </c>
      <c r="E30" s="152">
        <f t="shared" si="0"/>
        <v>5714.2899999999991</v>
      </c>
      <c r="F30" s="86">
        <f>E30/E39</f>
        <v>1.3696255620806407E-2</v>
      </c>
    </row>
    <row r="31" spans="2:7" ht="33.75" customHeight="1" x14ac:dyDescent="0.2">
      <c r="B31" s="142" t="s">
        <v>72</v>
      </c>
      <c r="C31" s="82">
        <f t="shared" si="0"/>
        <v>0</v>
      </c>
      <c r="D31" s="82">
        <f>D9</f>
        <v>2</v>
      </c>
      <c r="E31" s="152">
        <f t="shared" si="0"/>
        <v>0</v>
      </c>
      <c r="F31" s="86">
        <f>E31/E39</f>
        <v>0</v>
      </c>
    </row>
    <row r="32" spans="2:7" ht="15" x14ac:dyDescent="0.2">
      <c r="B32" s="142" t="s">
        <v>53</v>
      </c>
      <c r="C32" s="82">
        <f t="shared" si="0"/>
        <v>2</v>
      </c>
      <c r="D32" s="82">
        <f>D10</f>
        <v>3</v>
      </c>
      <c r="E32" s="152">
        <f>E10</f>
        <v>1714.29</v>
      </c>
      <c r="F32" s="86">
        <f>E32/E39</f>
        <v>4.1088838767707305E-3</v>
      </c>
    </row>
    <row r="33" spans="2:8" ht="30" x14ac:dyDescent="0.2">
      <c r="B33" s="142" t="s">
        <v>67</v>
      </c>
      <c r="C33" s="82">
        <f t="shared" si="0"/>
        <v>0</v>
      </c>
      <c r="D33" s="82">
        <f>D11</f>
        <v>2</v>
      </c>
      <c r="E33" s="152">
        <f t="shared" si="0"/>
        <v>0</v>
      </c>
      <c r="F33" s="86">
        <f>E33/E39</f>
        <v>0</v>
      </c>
    </row>
    <row r="34" spans="2:8" ht="15" x14ac:dyDescent="0.2">
      <c r="B34" s="142" t="s">
        <v>68</v>
      </c>
      <c r="C34" s="82">
        <f t="shared" ref="C34:E35" si="1">C13</f>
        <v>11</v>
      </c>
      <c r="D34" s="82">
        <f t="shared" si="1"/>
        <v>28</v>
      </c>
      <c r="E34" s="152">
        <f t="shared" si="1"/>
        <v>6914.2999999999993</v>
      </c>
      <c r="F34" s="86">
        <f>E34/E39</f>
        <v>1.657249111244647E-2</v>
      </c>
    </row>
    <row r="35" spans="2:8" ht="15" x14ac:dyDescent="0.2">
      <c r="B35" s="144" t="s">
        <v>69</v>
      </c>
      <c r="C35" s="150">
        <f t="shared" si="1"/>
        <v>12</v>
      </c>
      <c r="D35" s="150">
        <f t="shared" si="1"/>
        <v>12</v>
      </c>
      <c r="E35" s="152">
        <f t="shared" si="1"/>
        <v>9142.8799999999992</v>
      </c>
      <c r="F35" s="86">
        <f>E35/E39</f>
        <v>2.1914047342777229E-2</v>
      </c>
    </row>
    <row r="36" spans="2:8" ht="15" x14ac:dyDescent="0.2">
      <c r="B36" s="208" t="s">
        <v>54</v>
      </c>
      <c r="C36" s="82">
        <f t="shared" ref="C36:E38" si="2">C19</f>
        <v>0</v>
      </c>
      <c r="D36" s="82">
        <f t="shared" si="2"/>
        <v>99</v>
      </c>
      <c r="E36" s="153">
        <f t="shared" si="2"/>
        <v>114177.16</v>
      </c>
      <c r="F36" s="86">
        <f>E36/E39</f>
        <v>0.27366471939956016</v>
      </c>
    </row>
    <row r="37" spans="2:8" ht="15" x14ac:dyDescent="0.2">
      <c r="B37" s="145" t="s">
        <v>55</v>
      </c>
      <c r="C37" s="82">
        <f t="shared" si="2"/>
        <v>0</v>
      </c>
      <c r="D37" s="82">
        <f t="shared" si="2"/>
        <v>65</v>
      </c>
      <c r="E37" s="153">
        <f t="shared" si="2"/>
        <v>115428.68</v>
      </c>
      <c r="F37" s="86">
        <f>E37/E39</f>
        <v>0.27666441627083405</v>
      </c>
    </row>
    <row r="38" spans="2:8" ht="15.75" thickBot="1" x14ac:dyDescent="0.3">
      <c r="B38" s="146" t="s">
        <v>56</v>
      </c>
      <c r="C38" s="155">
        <f t="shared" si="2"/>
        <v>0</v>
      </c>
      <c r="D38" s="155">
        <f t="shared" si="2"/>
        <v>41</v>
      </c>
      <c r="E38" s="156">
        <f t="shared" si="2"/>
        <v>17558.11</v>
      </c>
      <c r="F38" s="147">
        <f>E38/E39</f>
        <v>4.2084031923167571E-2</v>
      </c>
    </row>
    <row r="39" spans="2:8" ht="15.75" thickBot="1" x14ac:dyDescent="0.25">
      <c r="B39" s="84" t="s">
        <v>0</v>
      </c>
      <c r="C39" s="83">
        <f>SUM(C28:C38)</f>
        <v>88</v>
      </c>
      <c r="D39" s="83">
        <f>SUM(D28:D38)</f>
        <v>385</v>
      </c>
      <c r="E39" s="157">
        <f>SUM(E28:E38)</f>
        <v>417215.49</v>
      </c>
      <c r="F39" s="159">
        <f>SUM(F28:F38)</f>
        <v>1</v>
      </c>
      <c r="G39" s="13"/>
      <c r="H39" s="10"/>
    </row>
    <row r="40" spans="2:8" ht="15" x14ac:dyDescent="0.2">
      <c r="B40" s="85"/>
      <c r="C40" s="85"/>
      <c r="D40" s="85"/>
      <c r="E40" s="85"/>
    </row>
  </sheetData>
  <mergeCells count="2">
    <mergeCell ref="B17:F17"/>
    <mergeCell ref="B23:F2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4"/>
  <sheetViews>
    <sheetView zoomScale="106" zoomScaleNormal="106" workbookViewId="0">
      <selection activeCell="E11" sqref="E11:F11"/>
    </sheetView>
  </sheetViews>
  <sheetFormatPr baseColWidth="10" defaultColWidth="11.42578125" defaultRowHeight="12.75" x14ac:dyDescent="0.2"/>
  <cols>
    <col min="1" max="2" width="8" style="1" customWidth="1"/>
    <col min="3" max="3" width="7.85546875" style="1" customWidth="1"/>
    <col min="4" max="4" width="8" style="1" customWidth="1"/>
    <col min="5" max="5" width="7.7109375" style="1" customWidth="1"/>
    <col min="6" max="6" width="8.28515625" style="1" customWidth="1"/>
    <col min="7" max="7" width="13.5703125" style="1" customWidth="1"/>
    <col min="8" max="8" width="15.5703125" style="1" customWidth="1"/>
    <col min="9" max="9" width="12.5703125" style="1" customWidth="1"/>
    <col min="10" max="10" width="13" style="1" customWidth="1"/>
    <col min="11" max="11" width="11.5703125" style="1" customWidth="1"/>
    <col min="12" max="12" width="11.28515625" style="1" customWidth="1"/>
    <col min="13" max="13" width="11.85546875" style="1" customWidth="1"/>
    <col min="14" max="14" width="12.7109375" style="1" customWidth="1"/>
    <col min="15" max="15" width="12" style="1" customWidth="1"/>
    <col min="16" max="16" width="15.140625" style="166" customWidth="1"/>
    <col min="17" max="17" width="16" style="166" customWidth="1"/>
    <col min="18" max="18" width="15.42578125" style="166" customWidth="1"/>
    <col min="19" max="19" width="11.42578125" style="166"/>
    <col min="20" max="20" width="11.42578125" style="1"/>
    <col min="21" max="21" width="14" style="1" bestFit="1" customWidth="1"/>
    <col min="22" max="22" width="17.7109375" style="1" customWidth="1"/>
    <col min="23" max="16384" width="11.42578125" style="1"/>
  </cols>
  <sheetData>
    <row r="1" spans="1:22" x14ac:dyDescent="0.2">
      <c r="P1" s="215" t="s">
        <v>73</v>
      </c>
    </row>
    <row r="6" spans="1:22" x14ac:dyDescent="0.2">
      <c r="A6" s="271" t="s">
        <v>65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</row>
    <row r="7" spans="1:22" x14ac:dyDescent="0.2">
      <c r="A7" s="271" t="s">
        <v>94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</row>
    <row r="8" spans="1:22" ht="12.75" customHeight="1" thickBot="1" x14ac:dyDescent="0.25"/>
    <row r="9" spans="1:22" ht="12.75" customHeight="1" thickBot="1" x14ac:dyDescent="0.25">
      <c r="A9" s="276" t="s">
        <v>7</v>
      </c>
      <c r="B9" s="272" t="s">
        <v>87</v>
      </c>
      <c r="C9" s="274" t="s">
        <v>88</v>
      </c>
      <c r="D9" s="274" t="s">
        <v>86</v>
      </c>
      <c r="E9" s="264" t="s">
        <v>66</v>
      </c>
      <c r="F9" s="265"/>
      <c r="G9" s="269" t="s">
        <v>43</v>
      </c>
      <c r="H9" s="266" t="s">
        <v>59</v>
      </c>
      <c r="I9" s="267"/>
      <c r="J9" s="267"/>
      <c r="K9" s="267"/>
      <c r="L9" s="268"/>
      <c r="M9" s="265" t="s">
        <v>44</v>
      </c>
      <c r="N9" s="272" t="s">
        <v>45</v>
      </c>
      <c r="O9" s="264" t="s">
        <v>47</v>
      </c>
      <c r="P9" s="279" t="s">
        <v>1</v>
      </c>
      <c r="T9" s="158"/>
      <c r="U9" s="158"/>
    </row>
    <row r="10" spans="1:22" ht="75.75" customHeight="1" thickBot="1" x14ac:dyDescent="0.25">
      <c r="A10" s="277"/>
      <c r="B10" s="273"/>
      <c r="C10" s="275"/>
      <c r="D10" s="275"/>
      <c r="E10" s="92" t="s">
        <v>63</v>
      </c>
      <c r="F10" s="92" t="s">
        <v>64</v>
      </c>
      <c r="G10" s="270"/>
      <c r="H10" s="93" t="s">
        <v>62</v>
      </c>
      <c r="I10" s="93" t="s">
        <v>71</v>
      </c>
      <c r="J10" s="94" t="s">
        <v>16</v>
      </c>
      <c r="K10" s="87" t="s">
        <v>15</v>
      </c>
      <c r="L10" s="88" t="s">
        <v>60</v>
      </c>
      <c r="M10" s="273"/>
      <c r="N10" s="273"/>
      <c r="O10" s="278"/>
      <c r="P10" s="280"/>
      <c r="Q10" s="167"/>
      <c r="T10" s="158"/>
      <c r="U10" s="158"/>
    </row>
    <row r="11" spans="1:22" ht="23.1" customHeight="1" x14ac:dyDescent="0.2">
      <c r="A11" s="90" t="s">
        <v>2</v>
      </c>
      <c r="B11" s="91">
        <v>0</v>
      </c>
      <c r="C11" s="104">
        <f>1+4+9+10+10</f>
        <v>34</v>
      </c>
      <c r="D11" s="104">
        <f>3+6+13+23+17</f>
        <v>62</v>
      </c>
      <c r="E11" s="91">
        <v>16</v>
      </c>
      <c r="F11" s="91">
        <v>29</v>
      </c>
      <c r="G11" s="89">
        <f>(4114.28)+(9771.42)+(10285.71)+(14708.56)</f>
        <v>38879.97</v>
      </c>
      <c r="H11" s="105">
        <f>(5161.83-0.01+381.03)+(39714.51-0.01)+(36857.15-0.01+0.01)+(25571.32-0.01)</f>
        <v>107685.81</v>
      </c>
      <c r="I11" s="105">
        <f>(2285.72+2285.72+1142.86-0.01)</f>
        <v>5714.2899999999991</v>
      </c>
      <c r="J11" s="89">
        <f>(228.57+228.57+114.29)+1142.86+571.43+1200+571.43+571.43+1142.86+1142.86</f>
        <v>6914.2999999999993</v>
      </c>
      <c r="K11" s="74">
        <v>0</v>
      </c>
      <c r="L11" s="74">
        <v>0</v>
      </c>
      <c r="M11" s="89">
        <f>(1142.86)+(571.44-0.01)</f>
        <v>1714.29</v>
      </c>
      <c r="N11" s="105">
        <f>8*1142.86</f>
        <v>9142.8799999999992</v>
      </c>
      <c r="O11" s="95">
        <v>0</v>
      </c>
      <c r="P11" s="168">
        <f t="shared" ref="P11:P22" si="0">G11+H11+I11+J11+K11+L11+M11+N11+O11</f>
        <v>170051.54</v>
      </c>
      <c r="Q11" s="169">
        <f>P11+'2. COMPR DEV 30%'!E9+'2. COMPR DEV 30%'!C9+'3. COMP VR'!C9+'3. COMP VR'!E9+'4. COMP VP'!D12+'4. COMP VP'!F12</f>
        <v>417215.49</v>
      </c>
      <c r="R11" s="234"/>
      <c r="S11" s="224"/>
      <c r="T11" s="158"/>
      <c r="U11" s="219"/>
      <c r="V11" s="209"/>
    </row>
    <row r="12" spans="1:22" ht="23.1" customHeight="1" x14ac:dyDescent="0.2">
      <c r="A12" s="75" t="s">
        <v>3</v>
      </c>
      <c r="B12" s="91">
        <v>0</v>
      </c>
      <c r="C12" s="104">
        <v>0</v>
      </c>
      <c r="D12" s="104">
        <v>0</v>
      </c>
      <c r="E12" s="91">
        <v>0</v>
      </c>
      <c r="F12" s="91">
        <v>0</v>
      </c>
      <c r="G12" s="89">
        <v>0</v>
      </c>
      <c r="H12" s="105">
        <v>0</v>
      </c>
      <c r="I12" s="105">
        <v>0</v>
      </c>
      <c r="J12" s="89">
        <v>0</v>
      </c>
      <c r="K12" s="74">
        <v>0</v>
      </c>
      <c r="L12" s="74">
        <v>0</v>
      </c>
      <c r="M12" s="89">
        <v>0</v>
      </c>
      <c r="N12" s="105">
        <v>0</v>
      </c>
      <c r="O12" s="95">
        <v>0</v>
      </c>
      <c r="P12" s="168">
        <f t="shared" si="0"/>
        <v>0</v>
      </c>
      <c r="Q12" s="170">
        <f>P12+'2. COMPR DEV 30%'!C10+'2. COMPR DEV 30%'!E10+'3. COMP VR'!C10+'3. COMP VR'!E10+'4. COMP VP'!D13+'4. COMP VP'!F13</f>
        <v>0</v>
      </c>
      <c r="R12" s="171"/>
      <c r="T12" s="158"/>
      <c r="U12" s="219"/>
      <c r="V12" s="209"/>
    </row>
    <row r="13" spans="1:22" ht="23.1" customHeight="1" x14ac:dyDescent="0.2">
      <c r="A13" s="75" t="s">
        <v>4</v>
      </c>
      <c r="B13" s="91">
        <v>0</v>
      </c>
      <c r="C13" s="104">
        <v>0</v>
      </c>
      <c r="D13" s="104">
        <v>0</v>
      </c>
      <c r="E13" s="91">
        <v>0</v>
      </c>
      <c r="F13" s="91">
        <v>0</v>
      </c>
      <c r="G13" s="89">
        <v>0</v>
      </c>
      <c r="H13" s="105">
        <v>0</v>
      </c>
      <c r="I13" s="105">
        <v>0</v>
      </c>
      <c r="J13" s="89">
        <v>0</v>
      </c>
      <c r="K13" s="74">
        <v>0</v>
      </c>
      <c r="L13" s="74">
        <v>0</v>
      </c>
      <c r="M13" s="89">
        <v>0</v>
      </c>
      <c r="N13" s="105">
        <v>0</v>
      </c>
      <c r="O13" s="95">
        <v>0</v>
      </c>
      <c r="P13" s="168">
        <f t="shared" si="0"/>
        <v>0</v>
      </c>
      <c r="Q13" s="170">
        <f>P13+'2. COMPR DEV 30%'!C11+'2. COMPR DEV 30%'!E11+'3. COMP VR'!C11+'3. COMP VR'!E11+'4. COMP VP'!D14+'4. COMP VP'!F14</f>
        <v>0</v>
      </c>
      <c r="R13" s="172"/>
      <c r="T13" s="158"/>
      <c r="U13" s="219"/>
      <c r="V13" s="209"/>
    </row>
    <row r="14" spans="1:22" ht="23.1" customHeight="1" x14ac:dyDescent="0.2">
      <c r="A14" s="75" t="s">
        <v>5</v>
      </c>
      <c r="B14" s="91">
        <v>0</v>
      </c>
      <c r="C14" s="104">
        <v>0</v>
      </c>
      <c r="D14" s="104">
        <v>0</v>
      </c>
      <c r="E14" s="91">
        <v>0</v>
      </c>
      <c r="F14" s="91">
        <v>0</v>
      </c>
      <c r="G14" s="89">
        <v>0</v>
      </c>
      <c r="H14" s="105">
        <v>0</v>
      </c>
      <c r="I14" s="105">
        <v>0</v>
      </c>
      <c r="J14" s="89">
        <v>0</v>
      </c>
      <c r="K14" s="74">
        <v>0</v>
      </c>
      <c r="L14" s="74">
        <v>0</v>
      </c>
      <c r="M14" s="89">
        <v>0</v>
      </c>
      <c r="N14" s="105">
        <v>0</v>
      </c>
      <c r="O14" s="95">
        <v>0</v>
      </c>
      <c r="P14" s="168">
        <f t="shared" si="0"/>
        <v>0</v>
      </c>
      <c r="Q14" s="170">
        <f>P14+'2. COMPR DEV 30%'!C12+'2. COMPR DEV 30%'!E12+'3. COMP VR'!C12+'3. COMP VR'!E12+'4. COMP VP'!D15+'4. COMP VP'!F15</f>
        <v>0</v>
      </c>
      <c r="T14" s="158"/>
      <c r="U14" s="219"/>
      <c r="V14" s="209"/>
    </row>
    <row r="15" spans="1:22" ht="23.1" customHeight="1" x14ac:dyDescent="0.2">
      <c r="A15" s="75" t="s">
        <v>6</v>
      </c>
      <c r="B15" s="91">
        <v>0</v>
      </c>
      <c r="C15" s="104">
        <v>0</v>
      </c>
      <c r="D15" s="104">
        <v>0</v>
      </c>
      <c r="E15" s="91">
        <v>0</v>
      </c>
      <c r="F15" s="91">
        <v>0</v>
      </c>
      <c r="G15" s="89">
        <v>0</v>
      </c>
      <c r="H15" s="105">
        <v>0</v>
      </c>
      <c r="I15" s="105">
        <v>0</v>
      </c>
      <c r="J15" s="89">
        <v>0</v>
      </c>
      <c r="K15" s="74">
        <v>0</v>
      </c>
      <c r="L15" s="74">
        <v>0</v>
      </c>
      <c r="M15" s="89">
        <v>0</v>
      </c>
      <c r="N15" s="105">
        <v>0</v>
      </c>
      <c r="O15" s="95">
        <v>0</v>
      </c>
      <c r="P15" s="168">
        <f t="shared" si="0"/>
        <v>0</v>
      </c>
      <c r="Q15" s="170">
        <f>P15+'2. COMPR DEV 30%'!C13+'2. COMPR DEV 30%'!E13+'3. COMP VR'!C13+'3. COMP VR'!E13+'4. COMP VP'!D16+'4. COMP VP'!F16</f>
        <v>0</v>
      </c>
      <c r="R15" s="171"/>
      <c r="T15" s="158"/>
      <c r="U15" s="219"/>
      <c r="V15" s="209"/>
    </row>
    <row r="16" spans="1:22" ht="23.1" customHeight="1" x14ac:dyDescent="0.2">
      <c r="A16" s="75" t="s">
        <v>8</v>
      </c>
      <c r="B16" s="91">
        <v>0</v>
      </c>
      <c r="C16" s="104">
        <v>0</v>
      </c>
      <c r="D16" s="104">
        <v>0</v>
      </c>
      <c r="E16" s="91">
        <v>0</v>
      </c>
      <c r="F16" s="91">
        <v>0</v>
      </c>
      <c r="G16" s="89">
        <v>0</v>
      </c>
      <c r="H16" s="105">
        <v>0</v>
      </c>
      <c r="I16" s="105">
        <v>0</v>
      </c>
      <c r="J16" s="89">
        <v>0</v>
      </c>
      <c r="K16" s="74">
        <v>0</v>
      </c>
      <c r="L16" s="74">
        <v>0</v>
      </c>
      <c r="M16" s="89">
        <v>0</v>
      </c>
      <c r="N16" s="105">
        <v>0</v>
      </c>
      <c r="O16" s="95">
        <v>0</v>
      </c>
      <c r="P16" s="168">
        <f t="shared" si="0"/>
        <v>0</v>
      </c>
      <c r="Q16" s="170">
        <f>P16+'2. COMPR DEV 30%'!C14+'2. COMPR DEV 30%'!E14+'3. COMP VR'!C14+'3. COMP VR'!E14+'4. COMP VP'!D17+'4. COMP VP'!F17</f>
        <v>0</v>
      </c>
      <c r="T16" s="158"/>
      <c r="U16" s="219"/>
      <c r="V16" s="209"/>
    </row>
    <row r="17" spans="1:24" ht="23.1" customHeight="1" x14ac:dyDescent="0.2">
      <c r="A17" s="75" t="s">
        <v>9</v>
      </c>
      <c r="B17" s="91">
        <v>0</v>
      </c>
      <c r="C17" s="104">
        <v>0</v>
      </c>
      <c r="D17" s="104">
        <v>0</v>
      </c>
      <c r="E17" s="91">
        <v>0</v>
      </c>
      <c r="F17" s="91">
        <v>0</v>
      </c>
      <c r="G17" s="89">
        <v>0</v>
      </c>
      <c r="H17" s="105">
        <v>0</v>
      </c>
      <c r="I17" s="105">
        <v>0</v>
      </c>
      <c r="J17" s="89">
        <v>0</v>
      </c>
      <c r="K17" s="74">
        <v>0</v>
      </c>
      <c r="L17" s="74">
        <v>0</v>
      </c>
      <c r="M17" s="89">
        <v>0</v>
      </c>
      <c r="N17" s="105">
        <v>0</v>
      </c>
      <c r="O17" s="95">
        <v>0</v>
      </c>
      <c r="P17" s="168">
        <f t="shared" si="0"/>
        <v>0</v>
      </c>
      <c r="Q17" s="170">
        <f>P17+'2. COMPR DEV 30%'!C15+'2. COMPR DEV 30%'!E15+'3. COMP VR'!C15+'3. COMP VR'!E15+'4. COMP VP'!D18+'4. COMP VP'!F18</f>
        <v>0</v>
      </c>
      <c r="R17" s="170"/>
      <c r="T17" s="158"/>
      <c r="U17" s="219"/>
      <c r="V17" s="209"/>
    </row>
    <row r="18" spans="1:24" ht="23.1" customHeight="1" x14ac:dyDescent="0.2">
      <c r="A18" s="75" t="s">
        <v>10</v>
      </c>
      <c r="B18" s="91">
        <v>0</v>
      </c>
      <c r="C18" s="104">
        <v>0</v>
      </c>
      <c r="D18" s="104">
        <v>0</v>
      </c>
      <c r="E18" s="91">
        <v>0</v>
      </c>
      <c r="F18" s="91">
        <v>0</v>
      </c>
      <c r="G18" s="89">
        <v>0</v>
      </c>
      <c r="H18" s="105">
        <v>0</v>
      </c>
      <c r="I18" s="105">
        <v>0</v>
      </c>
      <c r="J18" s="89">
        <v>0</v>
      </c>
      <c r="K18" s="74">
        <v>0</v>
      </c>
      <c r="L18" s="74">
        <v>0</v>
      </c>
      <c r="M18" s="89">
        <v>0</v>
      </c>
      <c r="N18" s="105">
        <v>0</v>
      </c>
      <c r="O18" s="95">
        <v>0</v>
      </c>
      <c r="P18" s="168">
        <f t="shared" si="0"/>
        <v>0</v>
      </c>
      <c r="Q18" s="170">
        <f>P18+'2. COMPR DEV 30%'!C16+'2. COMPR DEV 30%'!E16+'3. COMP VR'!C16+'3. COMP VR'!E16+'4. COMP VP'!D19+'4. COMP VP'!F19</f>
        <v>0</v>
      </c>
      <c r="T18" s="158"/>
      <c r="U18" s="219"/>
      <c r="V18" s="209"/>
    </row>
    <row r="19" spans="1:24" ht="23.1" customHeight="1" x14ac:dyDescent="0.2">
      <c r="A19" s="76" t="s">
        <v>11</v>
      </c>
      <c r="B19" s="91">
        <v>0</v>
      </c>
      <c r="C19" s="104">
        <v>0</v>
      </c>
      <c r="D19" s="104">
        <v>0</v>
      </c>
      <c r="E19" s="91">
        <v>0</v>
      </c>
      <c r="F19" s="91">
        <v>0</v>
      </c>
      <c r="G19" s="89">
        <v>0</v>
      </c>
      <c r="H19" s="105">
        <v>0</v>
      </c>
      <c r="I19" s="105">
        <v>0</v>
      </c>
      <c r="J19" s="89">
        <v>0</v>
      </c>
      <c r="K19" s="74">
        <v>0</v>
      </c>
      <c r="L19" s="74">
        <v>0</v>
      </c>
      <c r="M19" s="89">
        <v>0</v>
      </c>
      <c r="N19" s="105">
        <v>0</v>
      </c>
      <c r="O19" s="95">
        <v>0</v>
      </c>
      <c r="P19" s="168">
        <f t="shared" si="0"/>
        <v>0</v>
      </c>
      <c r="Q19" s="170">
        <f>P19+'2. COMPR DEV 30%'!C17+'2. COMPR DEV 30%'!E17+'3. COMP VR'!C17+'3. COMP VR'!E17+'4. COMP VP'!D20+'4. COMP VP'!F20</f>
        <v>0</v>
      </c>
      <c r="R19" s="171"/>
      <c r="T19" s="158"/>
      <c r="U19" s="219"/>
      <c r="V19" s="209"/>
      <c r="X19" s="209"/>
    </row>
    <row r="20" spans="1:24" ht="23.1" customHeight="1" x14ac:dyDescent="0.2">
      <c r="A20" s="77" t="s">
        <v>12</v>
      </c>
      <c r="B20" s="91">
        <v>0</v>
      </c>
      <c r="C20" s="104">
        <v>0</v>
      </c>
      <c r="D20" s="104">
        <v>0</v>
      </c>
      <c r="E20" s="91">
        <v>0</v>
      </c>
      <c r="F20" s="91">
        <v>0</v>
      </c>
      <c r="G20" s="89">
        <v>0</v>
      </c>
      <c r="H20" s="105">
        <v>0</v>
      </c>
      <c r="I20" s="105">
        <v>0</v>
      </c>
      <c r="J20" s="89">
        <v>0</v>
      </c>
      <c r="K20" s="74">
        <v>0</v>
      </c>
      <c r="L20" s="74">
        <v>0</v>
      </c>
      <c r="M20" s="89">
        <v>0</v>
      </c>
      <c r="N20" s="105">
        <v>0</v>
      </c>
      <c r="O20" s="95">
        <v>0</v>
      </c>
      <c r="P20" s="168">
        <f t="shared" si="0"/>
        <v>0</v>
      </c>
      <c r="Q20" s="170">
        <f>P20+'2. COMPR DEV 30%'!C18+'2. COMPR DEV 30%'!E18+'3. COMP VR'!C18+'3. COMP VR'!E18+'4. COMP VP'!D21+'4. COMP VP'!F21</f>
        <v>0</v>
      </c>
      <c r="R20" s="173"/>
      <c r="T20" s="166"/>
      <c r="U20" s="219"/>
      <c r="V20" s="209"/>
    </row>
    <row r="21" spans="1:24" ht="23.1" customHeight="1" x14ac:dyDescent="0.2">
      <c r="A21" s="78" t="s">
        <v>13</v>
      </c>
      <c r="B21" s="91">
        <v>0</v>
      </c>
      <c r="C21" s="104">
        <v>0</v>
      </c>
      <c r="D21" s="104">
        <v>0</v>
      </c>
      <c r="E21" s="91">
        <v>0</v>
      </c>
      <c r="F21" s="91">
        <v>0</v>
      </c>
      <c r="G21" s="89">
        <v>0</v>
      </c>
      <c r="H21" s="105">
        <v>0</v>
      </c>
      <c r="I21" s="105">
        <v>0</v>
      </c>
      <c r="J21" s="89">
        <v>0</v>
      </c>
      <c r="K21" s="74">
        <v>0</v>
      </c>
      <c r="L21" s="74">
        <v>0</v>
      </c>
      <c r="M21" s="89">
        <v>0</v>
      </c>
      <c r="N21" s="105">
        <v>0</v>
      </c>
      <c r="O21" s="95">
        <v>0</v>
      </c>
      <c r="P21" s="168">
        <f t="shared" si="0"/>
        <v>0</v>
      </c>
      <c r="Q21" s="170">
        <f>P21+'2. COMPR DEV 30%'!C19+'2. COMPR DEV 30%'!E19+'3. COMP VR'!C19+'3. COMP VR'!E19+'4. COMP VP'!D22+'4. COMP VP'!F22</f>
        <v>0</v>
      </c>
      <c r="R21" s="171"/>
      <c r="T21" s="166"/>
      <c r="U21" s="219"/>
      <c r="V21" s="209"/>
    </row>
    <row r="22" spans="1:24" ht="23.1" customHeight="1" thickBot="1" x14ac:dyDescent="0.25">
      <c r="A22" s="78" t="s">
        <v>14</v>
      </c>
      <c r="B22" s="91">
        <v>0</v>
      </c>
      <c r="C22" s="104">
        <v>0</v>
      </c>
      <c r="D22" s="104">
        <v>0</v>
      </c>
      <c r="E22" s="91">
        <v>0</v>
      </c>
      <c r="F22" s="91">
        <v>0</v>
      </c>
      <c r="G22" s="89">
        <v>0</v>
      </c>
      <c r="H22" s="105">
        <v>0</v>
      </c>
      <c r="I22" s="105">
        <v>0</v>
      </c>
      <c r="J22" s="89">
        <v>0</v>
      </c>
      <c r="K22" s="74">
        <v>0</v>
      </c>
      <c r="L22" s="74">
        <v>0</v>
      </c>
      <c r="M22" s="89">
        <v>0</v>
      </c>
      <c r="N22" s="105">
        <v>0</v>
      </c>
      <c r="O22" s="95">
        <v>0</v>
      </c>
      <c r="P22" s="168">
        <f t="shared" si="0"/>
        <v>0</v>
      </c>
      <c r="Q22" s="170">
        <f>P22+'2. COMPR DEV 30%'!C20+'2. COMPR DEV 30%'!E20+'3. COMP VR'!C20+'3. COMP VR'!E20+'4. COMP VP'!D23+'4. COMP VP'!F23</f>
        <v>0</v>
      </c>
      <c r="R22" s="170"/>
      <c r="T22" s="166"/>
      <c r="U22" s="219"/>
      <c r="V22" s="209"/>
    </row>
    <row r="23" spans="1:24" ht="27.75" customHeight="1" thickBot="1" x14ac:dyDescent="0.25">
      <c r="A23" s="96" t="s">
        <v>0</v>
      </c>
      <c r="B23" s="97">
        <f t="shared" ref="B23:I23" si="1">SUM(B11:B22)</f>
        <v>0</v>
      </c>
      <c r="C23" s="97">
        <f t="shared" si="1"/>
        <v>34</v>
      </c>
      <c r="D23" s="97">
        <f t="shared" si="1"/>
        <v>62</v>
      </c>
      <c r="E23" s="97">
        <f t="shared" si="1"/>
        <v>16</v>
      </c>
      <c r="F23" s="97">
        <f t="shared" si="1"/>
        <v>29</v>
      </c>
      <c r="G23" s="98">
        <f t="shared" si="1"/>
        <v>38879.97</v>
      </c>
      <c r="H23" s="98">
        <f t="shared" si="1"/>
        <v>107685.81</v>
      </c>
      <c r="I23" s="98">
        <f t="shared" si="1"/>
        <v>5714.2899999999991</v>
      </c>
      <c r="J23" s="98">
        <f t="shared" ref="J23:O23" si="2">SUM(J11:J22)</f>
        <v>6914.2999999999993</v>
      </c>
      <c r="K23" s="98">
        <f t="shared" si="2"/>
        <v>0</v>
      </c>
      <c r="L23" s="98">
        <f t="shared" si="2"/>
        <v>0</v>
      </c>
      <c r="M23" s="98">
        <f t="shared" si="2"/>
        <v>1714.29</v>
      </c>
      <c r="N23" s="98">
        <f t="shared" si="2"/>
        <v>9142.8799999999992</v>
      </c>
      <c r="O23" s="99">
        <f t="shared" si="2"/>
        <v>0</v>
      </c>
      <c r="P23" s="174">
        <f>G23+H23+I23+J23+K23+L23+M23+N23+O23</f>
        <v>170051.54</v>
      </c>
      <c r="Q23" s="175">
        <f>SUM(Q11:Q22)</f>
        <v>417215.49</v>
      </c>
      <c r="T23" s="158"/>
      <c r="U23" s="219"/>
      <c r="V23" s="209"/>
    </row>
    <row r="24" spans="1:24" s="166" customFormat="1" x14ac:dyDescent="0.2">
      <c r="A24" s="64" t="s">
        <v>82</v>
      </c>
      <c r="B24" s="220"/>
      <c r="C24" s="220"/>
      <c r="D24" s="220"/>
      <c r="E24" s="220"/>
      <c r="F24" s="220"/>
      <c r="G24" s="179"/>
      <c r="H24" s="220"/>
      <c r="I24" s="220"/>
      <c r="J24" s="220"/>
      <c r="K24" s="220"/>
      <c r="L24" s="220"/>
      <c r="M24" s="179"/>
      <c r="N24" s="1" t="s">
        <v>95</v>
      </c>
      <c r="O24" s="179"/>
      <c r="Q24" s="169">
        <f>SUM(Q11:Q23)-Q23</f>
        <v>417215.49</v>
      </c>
      <c r="R24" s="171"/>
    </row>
    <row r="25" spans="1:24" s="166" customFormat="1" x14ac:dyDescent="0.2">
      <c r="A25" s="5" t="s">
        <v>61</v>
      </c>
      <c r="B25" s="63"/>
      <c r="C25" s="220"/>
      <c r="D25" s="220"/>
      <c r="E25" s="220"/>
      <c r="F25" s="220"/>
      <c r="G25" s="179"/>
      <c r="H25" s="220"/>
      <c r="I25" s="220"/>
      <c r="J25" s="220"/>
      <c r="K25" s="220"/>
      <c r="L25" s="220"/>
      <c r="M25" s="179"/>
      <c r="N25" s="179"/>
      <c r="O25" s="179"/>
      <c r="P25" s="176"/>
      <c r="Q25" s="171"/>
      <c r="V25" s="171"/>
    </row>
    <row r="26" spans="1:24" s="166" customFormat="1" x14ac:dyDescent="0.2">
      <c r="B26" s="222"/>
      <c r="C26" s="220"/>
      <c r="D26" s="220"/>
      <c r="E26" s="220"/>
      <c r="F26" s="220"/>
      <c r="G26" s="179"/>
      <c r="H26" s="220"/>
      <c r="I26" s="220"/>
      <c r="J26" s="220"/>
      <c r="K26" s="220"/>
      <c r="L26" s="220"/>
      <c r="M26" s="179"/>
      <c r="N26" s="179"/>
      <c r="O26" s="179"/>
      <c r="P26" s="171"/>
      <c r="Q26" s="210"/>
      <c r="V26" s="171"/>
    </row>
    <row r="27" spans="1:24" s="166" customFormat="1" x14ac:dyDescent="0.2">
      <c r="A27" s="220"/>
      <c r="B27" s="222"/>
      <c r="C27" s="220"/>
      <c r="D27" s="220"/>
      <c r="E27" s="220"/>
      <c r="F27" s="220"/>
      <c r="G27" s="179"/>
      <c r="H27" s="220"/>
      <c r="I27" s="220"/>
      <c r="J27" s="220"/>
      <c r="K27" s="220"/>
      <c r="L27" s="220"/>
      <c r="M27" s="179"/>
      <c r="N27" s="179"/>
      <c r="O27" s="179"/>
      <c r="P27" s="171"/>
      <c r="Q27" s="171"/>
    </row>
    <row r="28" spans="1:24" s="166" customFormat="1" x14ac:dyDescent="0.2">
      <c r="A28" s="63" t="s">
        <v>46</v>
      </c>
      <c r="B28" s="222"/>
      <c r="C28" s="221"/>
      <c r="D28" s="221"/>
      <c r="E28" s="221"/>
      <c r="F28" s="221"/>
      <c r="G28" s="63"/>
      <c r="H28" s="221"/>
      <c r="I28" s="221"/>
      <c r="J28" s="221"/>
      <c r="K28" s="221"/>
      <c r="L28" s="221"/>
      <c r="M28" s="63"/>
      <c r="N28" s="63"/>
      <c r="O28" s="63"/>
      <c r="P28" s="63"/>
      <c r="Q28" s="171"/>
    </row>
    <row r="29" spans="1:24" s="166" customFormat="1" x14ac:dyDescent="0.2">
      <c r="A29" s="221"/>
      <c r="B29" s="222"/>
      <c r="C29" s="220"/>
      <c r="D29" s="220"/>
      <c r="E29" s="220"/>
      <c r="F29" s="220"/>
      <c r="G29" s="179"/>
      <c r="H29" s="220"/>
      <c r="I29" s="220"/>
      <c r="J29" s="220"/>
      <c r="K29" s="220"/>
      <c r="L29" s="220"/>
      <c r="M29" s="179"/>
      <c r="N29" s="179"/>
      <c r="O29" s="179"/>
      <c r="Q29" s="210"/>
      <c r="U29" s="171"/>
    </row>
    <row r="30" spans="1:24" s="166" customFormat="1" x14ac:dyDescent="0.2">
      <c r="A30" s="221"/>
      <c r="B30" s="63"/>
      <c r="C30" s="221"/>
      <c r="D30" s="221"/>
      <c r="E30" s="221"/>
      <c r="F30" s="221"/>
      <c r="G30" s="63"/>
      <c r="H30" s="221"/>
      <c r="I30" s="221"/>
      <c r="J30" s="221"/>
      <c r="K30" s="221"/>
      <c r="L30" s="221"/>
      <c r="M30" s="63"/>
      <c r="N30" s="63"/>
      <c r="O30" s="63"/>
      <c r="P30" s="63"/>
      <c r="Q30" s="210"/>
    </row>
    <row r="31" spans="1:24" s="166" customFormat="1" x14ac:dyDescent="0.2">
      <c r="A31" s="221"/>
      <c r="B31" s="63"/>
      <c r="C31" s="221"/>
      <c r="D31" s="221"/>
      <c r="E31" s="221"/>
      <c r="F31" s="221"/>
      <c r="G31" s="63"/>
      <c r="H31" s="221"/>
      <c r="I31" s="221"/>
      <c r="J31" s="221"/>
      <c r="K31" s="221"/>
      <c r="L31" s="221"/>
      <c r="M31" s="63"/>
      <c r="N31" s="63"/>
      <c r="O31" s="63"/>
      <c r="P31" s="63"/>
    </row>
    <row r="32" spans="1:24" s="166" customFormat="1" x14ac:dyDescent="0.2">
      <c r="A32" s="221"/>
      <c r="B32" s="63"/>
      <c r="C32" s="221"/>
      <c r="D32" s="221"/>
      <c r="E32" s="221"/>
      <c r="F32" s="221"/>
      <c r="G32" s="7" t="s">
        <v>83</v>
      </c>
      <c r="H32" s="230"/>
      <c r="I32" s="231"/>
      <c r="J32" s="232"/>
      <c r="K32" s="232"/>
      <c r="L32" s="4"/>
      <c r="M32" s="7"/>
      <c r="N32" s="230"/>
      <c r="O32" s="231"/>
      <c r="P32" s="177"/>
    </row>
    <row r="33" spans="1:18" s="166" customFormat="1" x14ac:dyDescent="0.2">
      <c r="A33" s="221"/>
      <c r="B33" s="63"/>
      <c r="D33" s="221"/>
      <c r="E33" s="221"/>
      <c r="F33" s="221"/>
      <c r="G33" s="14"/>
      <c r="H33" s="8" t="s">
        <v>84</v>
      </c>
      <c r="I33" s="1"/>
      <c r="J33" s="5"/>
      <c r="K33" s="5"/>
      <c r="L33" s="4"/>
      <c r="M33" s="14"/>
      <c r="N33" s="8"/>
      <c r="O33" s="1"/>
    </row>
    <row r="34" spans="1:18" s="166" customFormat="1" x14ac:dyDescent="0.2">
      <c r="A34" s="221"/>
      <c r="B34" s="63"/>
      <c r="C34" s="221"/>
      <c r="D34" s="221"/>
      <c r="E34" s="221"/>
      <c r="F34" s="221"/>
      <c r="G34" s="3"/>
      <c r="H34" s="233" t="s">
        <v>85</v>
      </c>
      <c r="I34" s="1"/>
      <c r="J34" s="2"/>
      <c r="K34" s="2"/>
      <c r="L34" s="1"/>
      <c r="M34" s="3"/>
      <c r="N34" s="233"/>
      <c r="O34" s="1"/>
      <c r="Q34" s="223"/>
    </row>
    <row r="35" spans="1:18" x14ac:dyDescent="0.2">
      <c r="A35" s="5"/>
      <c r="B35" s="213"/>
      <c r="C35" s="214"/>
      <c r="D35" s="214"/>
      <c r="E35" s="214"/>
      <c r="F35" s="214"/>
      <c r="G35" s="158"/>
      <c r="H35" s="214"/>
      <c r="I35" s="214"/>
      <c r="J35" s="2"/>
      <c r="K35" s="2"/>
      <c r="L35" s="2"/>
      <c r="Q35" s="223"/>
      <c r="R35" s="171"/>
    </row>
    <row r="36" spans="1:18" x14ac:dyDescent="0.2">
      <c r="A36" s="5"/>
      <c r="B36" s="4"/>
      <c r="C36" s="2"/>
      <c r="D36" s="2"/>
      <c r="E36" s="2"/>
      <c r="F36" s="2"/>
      <c r="H36" s="2"/>
      <c r="I36" s="2"/>
      <c r="J36" s="2"/>
      <c r="K36" s="2"/>
      <c r="L36" s="2"/>
      <c r="P36" s="178"/>
      <c r="Q36" s="223"/>
    </row>
    <row r="37" spans="1:18" x14ac:dyDescent="0.2">
      <c r="A37" s="5"/>
      <c r="B37" s="3"/>
      <c r="C37" s="11"/>
      <c r="D37" s="11"/>
      <c r="E37" s="11"/>
      <c r="F37" s="11"/>
      <c r="G37" s="79"/>
      <c r="H37" s="11"/>
      <c r="I37" s="11"/>
      <c r="J37" s="11"/>
      <c r="K37" s="11"/>
      <c r="L37" s="11"/>
      <c r="M37" s="3"/>
      <c r="N37" s="3"/>
      <c r="O37" s="3"/>
      <c r="P37" s="178"/>
    </row>
    <row r="38" spans="1:18" ht="10.5" customHeight="1" x14ac:dyDescent="0.2">
      <c r="A38" s="5"/>
      <c r="B38" s="3"/>
      <c r="C38" s="2"/>
      <c r="D38" s="2"/>
      <c r="E38" s="2"/>
      <c r="F38" s="2"/>
      <c r="H38" s="2"/>
      <c r="I38" s="2"/>
      <c r="J38" s="2"/>
      <c r="K38" s="2"/>
      <c r="L38" s="2"/>
    </row>
    <row r="39" spans="1:18" x14ac:dyDescent="0.2">
      <c r="A39" s="5"/>
      <c r="B39" s="3"/>
      <c r="C39" s="2"/>
      <c r="D39" s="2"/>
      <c r="E39" s="2"/>
      <c r="F39" s="2"/>
      <c r="G39" s="79"/>
      <c r="H39" s="2"/>
      <c r="I39" s="2"/>
      <c r="J39" s="2"/>
      <c r="K39" s="2"/>
      <c r="L39" s="2"/>
    </row>
    <row r="40" spans="1:18" x14ac:dyDescent="0.2">
      <c r="A40" s="12"/>
      <c r="B40" s="12"/>
      <c r="C40" s="12"/>
      <c r="D40" s="12"/>
      <c r="H40" s="209"/>
    </row>
    <row r="41" spans="1:18" x14ac:dyDescent="0.2">
      <c r="A41" s="12"/>
      <c r="B41" s="12"/>
      <c r="C41" s="12"/>
      <c r="D41" s="12"/>
    </row>
    <row r="42" spans="1:18" x14ac:dyDescent="0.2">
      <c r="A42" s="12"/>
      <c r="B42" s="12"/>
      <c r="C42" s="12"/>
      <c r="D42" s="12"/>
      <c r="E42" s="3"/>
      <c r="F42" s="3"/>
      <c r="N42" s="3"/>
      <c r="O42" s="3"/>
      <c r="P42" s="179"/>
    </row>
    <row r="43" spans="1:18" x14ac:dyDescent="0.2">
      <c r="A43" s="12"/>
      <c r="B43" s="12"/>
      <c r="C43" s="12"/>
      <c r="D43" s="12"/>
    </row>
    <row r="44" spans="1:18" x14ac:dyDescent="0.2">
      <c r="A44" s="12"/>
      <c r="B44" s="12"/>
      <c r="C44" s="12"/>
      <c r="D44" s="12"/>
    </row>
  </sheetData>
  <mergeCells count="13">
    <mergeCell ref="E9:F9"/>
    <mergeCell ref="H9:L9"/>
    <mergeCell ref="G9:G10"/>
    <mergeCell ref="A6:P6"/>
    <mergeCell ref="A7:P7"/>
    <mergeCell ref="B9:B10"/>
    <mergeCell ref="C9:C10"/>
    <mergeCell ref="A9:A10"/>
    <mergeCell ref="D9:D10"/>
    <mergeCell ref="M9:M10"/>
    <mergeCell ref="N9:N10"/>
    <mergeCell ref="O9:O10"/>
    <mergeCell ref="P9:P10"/>
  </mergeCells>
  <phoneticPr fontId="0" type="noConversion"/>
  <printOptions horizontalCentered="1"/>
  <pageMargins left="0.47244094488188981" right="0.19685039370078741" top="0.39370078740157483" bottom="0.39370078740157483" header="0.31496062992125984" footer="0.31496062992125984"/>
  <pageSetup paperSize="41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workbookViewId="0">
      <selection activeCell="C9" sqref="C9"/>
    </sheetView>
  </sheetViews>
  <sheetFormatPr baseColWidth="10" defaultRowHeight="12.75" x14ac:dyDescent="0.2"/>
  <cols>
    <col min="2" max="2" width="12" customWidth="1"/>
    <col min="4" max="4" width="12.5703125" customWidth="1"/>
    <col min="5" max="5" width="11.85546875" customWidth="1"/>
    <col min="6" max="6" width="4.42578125" customWidth="1"/>
    <col min="8" max="8" width="11.5703125" customWidth="1"/>
    <col min="9" max="9" width="11.5703125" bestFit="1" customWidth="1"/>
    <col min="10" max="10" width="13.42578125" customWidth="1"/>
    <col min="11" max="11" width="12" bestFit="1" customWidth="1"/>
  </cols>
  <sheetData>
    <row r="1" spans="1:11" x14ac:dyDescent="0.2">
      <c r="K1" s="15"/>
    </row>
    <row r="3" spans="1:11" ht="15" x14ac:dyDescent="0.25">
      <c r="A3" s="40"/>
      <c r="B3" s="40"/>
      <c r="C3" s="40"/>
      <c r="H3" s="40"/>
      <c r="I3" s="40"/>
      <c r="J3" s="40"/>
      <c r="K3" s="39"/>
    </row>
    <row r="4" spans="1:11" s="9" customFormat="1" ht="9" x14ac:dyDescent="0.15">
      <c r="A4" s="281" t="s">
        <v>28</v>
      </c>
      <c r="B4" s="281"/>
      <c r="C4" s="281"/>
      <c r="D4" s="281"/>
      <c r="E4" s="281"/>
      <c r="F4" s="62"/>
      <c r="G4" s="281"/>
      <c r="H4" s="281"/>
      <c r="I4" s="281"/>
      <c r="J4" s="281"/>
      <c r="K4" s="281"/>
    </row>
    <row r="5" spans="1:11" s="9" customFormat="1" ht="9" x14ac:dyDescent="0.15">
      <c r="A5" s="281" t="s">
        <v>29</v>
      </c>
      <c r="B5" s="281"/>
      <c r="C5" s="281"/>
      <c r="D5" s="281"/>
      <c r="E5" s="281"/>
      <c r="F5" s="62"/>
      <c r="G5" s="281"/>
      <c r="H5" s="281"/>
      <c r="I5" s="281"/>
      <c r="J5" s="281"/>
      <c r="K5" s="281"/>
    </row>
    <row r="6" spans="1:11" s="9" customFormat="1" ht="9" x14ac:dyDescent="0.15">
      <c r="A6" s="285" t="s">
        <v>91</v>
      </c>
      <c r="B6" s="285"/>
      <c r="C6" s="285"/>
      <c r="D6" s="285"/>
      <c r="E6" s="285"/>
      <c r="F6" s="62"/>
      <c r="G6" s="286"/>
      <c r="H6" s="286"/>
      <c r="I6" s="286"/>
      <c r="J6" s="286"/>
      <c r="K6" s="286"/>
    </row>
    <row r="7" spans="1:11" ht="15" customHeight="1" x14ac:dyDescent="0.25">
      <c r="A7" s="67"/>
      <c r="B7" s="282" t="s">
        <v>89</v>
      </c>
      <c r="C7" s="283"/>
      <c r="D7" s="283"/>
      <c r="E7" s="284"/>
      <c r="F7" s="39"/>
      <c r="G7" s="41"/>
      <c r="H7" s="287"/>
      <c r="I7" s="287"/>
      <c r="J7" s="287"/>
      <c r="K7" s="287"/>
    </row>
    <row r="8" spans="1:11" ht="77.25" customHeight="1" x14ac:dyDescent="0.25">
      <c r="A8" s="68" t="s">
        <v>30</v>
      </c>
      <c r="B8" s="69" t="s">
        <v>42</v>
      </c>
      <c r="C8" s="70" t="s">
        <v>32</v>
      </c>
      <c r="D8" s="71" t="s">
        <v>33</v>
      </c>
      <c r="E8" s="72" t="s">
        <v>34</v>
      </c>
      <c r="F8" s="39"/>
      <c r="G8" s="237"/>
      <c r="H8" s="238"/>
      <c r="I8" s="237"/>
      <c r="J8" s="237"/>
      <c r="K8" s="237"/>
    </row>
    <row r="9" spans="1:11" ht="15" x14ac:dyDescent="0.25">
      <c r="A9" s="122" t="s">
        <v>17</v>
      </c>
      <c r="B9" s="123">
        <f>8+2+12+8+11</f>
        <v>41</v>
      </c>
      <c r="C9" s="124">
        <f>315.11+48.6+632.02+315.06+445.08</f>
        <v>1755.87</v>
      </c>
      <c r="D9" s="124">
        <f>10503.13+1620.06+21066.94+10501.71+14835.14</f>
        <v>58526.979999999996</v>
      </c>
      <c r="E9" s="125">
        <f>2835.83+437.42+5688.06+2835.45+4005.48</f>
        <v>15802.240000000002</v>
      </c>
      <c r="F9" s="39"/>
      <c r="G9" s="239"/>
      <c r="H9" s="240"/>
      <c r="I9" s="241"/>
      <c r="J9" s="241"/>
      <c r="K9" s="242"/>
    </row>
    <row r="10" spans="1:11" ht="15" x14ac:dyDescent="0.25">
      <c r="A10" s="122" t="s">
        <v>18</v>
      </c>
      <c r="B10" s="123">
        <v>0</v>
      </c>
      <c r="C10" s="124">
        <v>0</v>
      </c>
      <c r="D10" s="124">
        <v>0</v>
      </c>
      <c r="E10" s="125">
        <v>0</v>
      </c>
      <c r="F10" s="39"/>
      <c r="G10" s="239"/>
      <c r="H10" s="240"/>
      <c r="I10" s="241"/>
      <c r="J10" s="241"/>
      <c r="K10" s="242"/>
    </row>
    <row r="11" spans="1:11" ht="15" x14ac:dyDescent="0.25">
      <c r="A11" s="122" t="s">
        <v>19</v>
      </c>
      <c r="B11" s="123">
        <v>0</v>
      </c>
      <c r="C11" s="124">
        <v>0</v>
      </c>
      <c r="D11" s="124">
        <v>0</v>
      </c>
      <c r="E11" s="125">
        <v>0</v>
      </c>
      <c r="F11" s="39"/>
      <c r="G11" s="239"/>
      <c r="H11" s="240"/>
      <c r="I11" s="241"/>
      <c r="J11" s="241"/>
      <c r="K11" s="242"/>
    </row>
    <row r="12" spans="1:11" ht="15" x14ac:dyDescent="0.25">
      <c r="A12" s="122" t="s">
        <v>20</v>
      </c>
      <c r="B12" s="123">
        <v>0</v>
      </c>
      <c r="C12" s="126">
        <v>0</v>
      </c>
      <c r="D12" s="126">
        <v>0</v>
      </c>
      <c r="E12" s="125">
        <v>0</v>
      </c>
      <c r="F12" s="39"/>
      <c r="G12" s="239"/>
      <c r="H12" s="240"/>
      <c r="I12" s="243"/>
      <c r="J12" s="243"/>
      <c r="K12" s="242"/>
    </row>
    <row r="13" spans="1:11" ht="15" x14ac:dyDescent="0.25">
      <c r="A13" s="122" t="s">
        <v>21</v>
      </c>
      <c r="B13" s="123">
        <v>0</v>
      </c>
      <c r="C13" s="124">
        <v>0</v>
      </c>
      <c r="D13" s="124">
        <v>0</v>
      </c>
      <c r="E13" s="125">
        <v>0</v>
      </c>
      <c r="F13" s="39"/>
      <c r="G13" s="239"/>
      <c r="H13" s="240"/>
      <c r="I13" s="241"/>
      <c r="J13" s="241"/>
      <c r="K13" s="242"/>
    </row>
    <row r="14" spans="1:11" ht="15" x14ac:dyDescent="0.25">
      <c r="A14" s="122" t="s">
        <v>22</v>
      </c>
      <c r="B14" s="123">
        <v>0</v>
      </c>
      <c r="C14" s="124">
        <v>0</v>
      </c>
      <c r="D14" s="124">
        <v>0</v>
      </c>
      <c r="E14" s="125">
        <v>0</v>
      </c>
      <c r="F14" s="39"/>
      <c r="G14" s="239"/>
      <c r="H14" s="240"/>
      <c r="I14" s="241"/>
      <c r="J14" s="241"/>
      <c r="K14" s="242"/>
    </row>
    <row r="15" spans="1:11" ht="15" x14ac:dyDescent="0.25">
      <c r="A15" s="127" t="s">
        <v>23</v>
      </c>
      <c r="B15" s="123">
        <v>0</v>
      </c>
      <c r="C15" s="126">
        <v>0</v>
      </c>
      <c r="D15" s="126">
        <v>0</v>
      </c>
      <c r="E15" s="125">
        <v>0</v>
      </c>
      <c r="F15" s="39"/>
      <c r="G15" s="239"/>
      <c r="H15" s="240"/>
      <c r="I15" s="243"/>
      <c r="J15" s="243"/>
      <c r="K15" s="242"/>
    </row>
    <row r="16" spans="1:11" ht="15" x14ac:dyDescent="0.25">
      <c r="A16" s="122" t="s">
        <v>24</v>
      </c>
      <c r="B16" s="123">
        <v>0</v>
      </c>
      <c r="C16" s="124">
        <v>0</v>
      </c>
      <c r="D16" s="124">
        <v>0</v>
      </c>
      <c r="E16" s="125">
        <v>0</v>
      </c>
      <c r="F16" s="39"/>
      <c r="G16" s="239"/>
      <c r="H16" s="240"/>
      <c r="I16" s="241"/>
      <c r="J16" s="241"/>
      <c r="K16" s="242"/>
    </row>
    <row r="17" spans="1:13" ht="15" x14ac:dyDescent="0.25">
      <c r="A17" s="122" t="s">
        <v>35</v>
      </c>
      <c r="B17" s="123">
        <v>0</v>
      </c>
      <c r="C17" s="124">
        <v>0</v>
      </c>
      <c r="D17" s="124">
        <v>0</v>
      </c>
      <c r="E17" s="125">
        <v>0</v>
      </c>
      <c r="F17" s="39"/>
      <c r="G17" s="239"/>
      <c r="H17" s="240"/>
      <c r="I17" s="241"/>
      <c r="J17" s="241"/>
      <c r="K17" s="242"/>
    </row>
    <row r="18" spans="1:13" ht="15" x14ac:dyDescent="0.25">
      <c r="A18" s="122" t="s">
        <v>25</v>
      </c>
      <c r="B18" s="123">
        <v>0</v>
      </c>
      <c r="C18" s="124">
        <v>0</v>
      </c>
      <c r="D18" s="124">
        <v>0</v>
      </c>
      <c r="E18" s="125">
        <v>0</v>
      </c>
      <c r="F18" s="39"/>
      <c r="G18" s="239"/>
      <c r="H18" s="240"/>
      <c r="I18" s="241"/>
      <c r="J18" s="241"/>
      <c r="K18" s="242"/>
    </row>
    <row r="19" spans="1:13" ht="15" x14ac:dyDescent="0.25">
      <c r="A19" s="122" t="s">
        <v>26</v>
      </c>
      <c r="B19" s="123">
        <v>0</v>
      </c>
      <c r="C19" s="124">
        <v>0</v>
      </c>
      <c r="D19" s="124">
        <v>0</v>
      </c>
      <c r="E19" s="125">
        <v>0</v>
      </c>
      <c r="F19" s="39"/>
      <c r="G19" s="239"/>
      <c r="H19" s="240"/>
      <c r="I19" s="241"/>
      <c r="J19" s="241"/>
      <c r="K19" s="242"/>
    </row>
    <row r="20" spans="1:13" ht="15" x14ac:dyDescent="0.25">
      <c r="A20" s="122" t="s">
        <v>27</v>
      </c>
      <c r="B20" s="123">
        <v>0</v>
      </c>
      <c r="C20" s="124">
        <v>0</v>
      </c>
      <c r="D20" s="124">
        <v>0</v>
      </c>
      <c r="E20" s="125">
        <v>0</v>
      </c>
      <c r="F20" s="39"/>
      <c r="G20" s="239"/>
      <c r="H20" s="240"/>
      <c r="I20" s="241"/>
      <c r="J20" s="241"/>
      <c r="K20" s="242"/>
    </row>
    <row r="21" spans="1:13" ht="15" x14ac:dyDescent="0.25">
      <c r="A21" s="128" t="s">
        <v>0</v>
      </c>
      <c r="B21" s="129">
        <f>SUM(B9:B20)</f>
        <v>41</v>
      </c>
      <c r="C21" s="130">
        <f>SUM(C9:C20)</f>
        <v>1755.87</v>
      </c>
      <c r="D21" s="131">
        <f>SUM(D9:D20)</f>
        <v>58526.979999999996</v>
      </c>
      <c r="E21" s="132">
        <f>SUM(E9:E20)</f>
        <v>15802.240000000002</v>
      </c>
      <c r="F21" s="39"/>
      <c r="G21" s="244"/>
      <c r="H21" s="245"/>
      <c r="I21" s="246"/>
      <c r="J21" s="247"/>
      <c r="K21" s="248"/>
    </row>
    <row r="22" spans="1:13" ht="15" x14ac:dyDescent="0.25">
      <c r="A22" s="65" t="s">
        <v>82</v>
      </c>
      <c r="B22" s="41"/>
      <c r="C22" s="41"/>
      <c r="D22" s="41"/>
      <c r="F22" s="39"/>
      <c r="G22" s="249"/>
      <c r="H22" s="41"/>
      <c r="I22" s="1"/>
    </row>
    <row r="23" spans="1:13" ht="15" x14ac:dyDescent="0.25">
      <c r="A23" s="41"/>
      <c r="B23" s="41"/>
      <c r="C23" s="41"/>
      <c r="D23" s="41"/>
      <c r="E23" s="41"/>
      <c r="F23" s="39"/>
      <c r="G23" s="41"/>
      <c r="H23" s="41"/>
      <c r="I23" s="41"/>
      <c r="J23" s="41"/>
      <c r="K23" s="41"/>
    </row>
    <row r="24" spans="1:13" ht="15" x14ac:dyDescent="0.25">
      <c r="A24" s="42"/>
      <c r="B24" s="41"/>
      <c r="C24" s="43"/>
      <c r="D24" s="80"/>
      <c r="E24" s="41"/>
      <c r="F24" s="39"/>
      <c r="G24" s="42"/>
      <c r="H24" s="41"/>
      <c r="I24" s="41"/>
      <c r="J24" s="41"/>
      <c r="K24" s="41"/>
      <c r="M24" s="37"/>
    </row>
    <row r="25" spans="1:13" x14ac:dyDescent="0.2">
      <c r="A25" s="41"/>
      <c r="B25" s="7" t="s">
        <v>83</v>
      </c>
      <c r="C25" s="230"/>
      <c r="D25" s="231"/>
      <c r="E25" s="232"/>
      <c r="F25" s="232"/>
      <c r="G25" s="4"/>
      <c r="H25" s="7"/>
      <c r="I25" s="230"/>
      <c r="J25" s="231"/>
      <c r="K25" s="177"/>
    </row>
    <row r="26" spans="1:13" x14ac:dyDescent="0.2">
      <c r="A26" s="42"/>
      <c r="B26" s="14"/>
      <c r="C26" s="8" t="s">
        <v>84</v>
      </c>
      <c r="D26" s="1"/>
      <c r="E26" s="5"/>
      <c r="F26" s="5"/>
      <c r="G26" s="4"/>
      <c r="H26" s="14"/>
      <c r="I26" s="8"/>
      <c r="J26" s="1"/>
      <c r="K26" s="166"/>
    </row>
    <row r="27" spans="1:13" x14ac:dyDescent="0.2">
      <c r="A27" s="41"/>
      <c r="B27" s="3"/>
      <c r="C27" s="233" t="s">
        <v>85</v>
      </c>
      <c r="D27" s="1"/>
      <c r="E27" s="2"/>
      <c r="F27" s="2"/>
      <c r="G27" s="1"/>
      <c r="H27" s="3"/>
      <c r="I27" s="233"/>
      <c r="J27" s="1"/>
      <c r="K27" s="166"/>
    </row>
    <row r="28" spans="1:13" ht="15" x14ac:dyDescent="0.25">
      <c r="A28" s="39"/>
      <c r="B28" s="39"/>
      <c r="C28" s="44"/>
      <c r="E28" s="39"/>
      <c r="F28" s="41"/>
      <c r="G28" s="39"/>
      <c r="H28" s="39"/>
      <c r="I28" s="41"/>
      <c r="J28" s="41"/>
      <c r="K28" s="39"/>
    </row>
    <row r="29" spans="1:13" ht="15" x14ac:dyDescent="0.25">
      <c r="A29" s="39"/>
      <c r="B29" s="39"/>
      <c r="C29" s="41"/>
      <c r="E29" s="39"/>
      <c r="F29" s="45"/>
      <c r="G29" s="39"/>
      <c r="H29" s="39"/>
      <c r="I29" s="41"/>
      <c r="J29" s="41"/>
      <c r="K29" s="39"/>
    </row>
    <row r="30" spans="1:13" ht="15" x14ac:dyDescent="0.25">
      <c r="A30" s="46"/>
      <c r="B30" s="39"/>
      <c r="C30" s="41"/>
      <c r="D30" s="37"/>
      <c r="E30" s="39"/>
      <c r="F30" s="42"/>
      <c r="G30" s="46"/>
      <c r="H30" s="39"/>
      <c r="I30" s="41"/>
      <c r="J30" s="41"/>
      <c r="K30" s="39"/>
    </row>
    <row r="31" spans="1:13" ht="15" x14ac:dyDescent="0.25">
      <c r="A31" s="44"/>
      <c r="B31" s="39"/>
      <c r="C31" s="44"/>
      <c r="D31" s="44"/>
      <c r="E31" s="44"/>
      <c r="F31" s="39"/>
      <c r="G31" s="39"/>
      <c r="H31" s="39"/>
      <c r="I31" s="39"/>
      <c r="J31" s="39"/>
      <c r="K31" s="39"/>
    </row>
    <row r="32" spans="1:13" ht="15" x14ac:dyDescent="0.25">
      <c r="A32" s="39"/>
      <c r="B32" s="39"/>
      <c r="C32" s="39"/>
      <c r="D32" s="39"/>
      <c r="E32" s="39"/>
    </row>
    <row r="33" spans="1:5" ht="15" x14ac:dyDescent="0.25">
      <c r="A33" s="39"/>
      <c r="B33" s="39"/>
      <c r="C33" s="39"/>
      <c r="D33" s="39"/>
      <c r="E33" s="39"/>
    </row>
    <row r="34" spans="1:5" ht="15" x14ac:dyDescent="0.25">
      <c r="A34" s="39"/>
      <c r="B34" s="39"/>
      <c r="C34" s="39"/>
      <c r="D34" s="39"/>
      <c r="E34" s="39"/>
    </row>
    <row r="35" spans="1:5" ht="15" x14ac:dyDescent="0.25">
      <c r="A35" s="41"/>
      <c r="B35" s="39"/>
      <c r="C35" s="39"/>
      <c r="D35" s="39"/>
      <c r="E35" s="39"/>
    </row>
    <row r="36" spans="1:5" x14ac:dyDescent="0.2">
      <c r="A36" s="47"/>
      <c r="B36" s="41"/>
      <c r="C36" s="41"/>
      <c r="D36" s="41"/>
      <c r="E36" s="41"/>
    </row>
    <row r="37" spans="1:5" ht="15" x14ac:dyDescent="0.25">
      <c r="A37" s="39"/>
      <c r="B37" s="44"/>
      <c r="C37" s="44"/>
      <c r="D37" s="44"/>
      <c r="E37" s="41"/>
    </row>
    <row r="38" spans="1:5" ht="15" x14ac:dyDescent="0.25">
      <c r="A38" s="39"/>
      <c r="B38" s="44"/>
      <c r="C38" s="44"/>
      <c r="D38" s="44"/>
      <c r="E38" s="41"/>
    </row>
    <row r="39" spans="1:5" x14ac:dyDescent="0.2">
      <c r="A39" s="41"/>
      <c r="B39" s="41"/>
      <c r="C39" s="41"/>
      <c r="D39" s="41"/>
      <c r="E39" s="41"/>
    </row>
    <row r="40" spans="1:5" x14ac:dyDescent="0.2">
      <c r="A40" s="41"/>
      <c r="B40" s="41"/>
      <c r="C40" s="41"/>
      <c r="D40" s="41"/>
      <c r="E40" s="41"/>
    </row>
    <row r="41" spans="1:5" x14ac:dyDescent="0.2">
      <c r="A41" s="41"/>
      <c r="B41" s="41"/>
      <c r="C41" s="41"/>
      <c r="D41" s="41"/>
      <c r="E41" s="41"/>
    </row>
    <row r="42" spans="1:5" x14ac:dyDescent="0.2">
      <c r="A42" s="41"/>
      <c r="B42" s="41"/>
      <c r="C42" s="41"/>
      <c r="D42" s="41"/>
      <c r="E42" s="41"/>
    </row>
    <row r="43" spans="1:5" x14ac:dyDescent="0.2">
      <c r="A43" s="41"/>
      <c r="B43" s="41"/>
      <c r="C43" s="41"/>
      <c r="D43" s="41"/>
      <c r="E43" s="41"/>
    </row>
    <row r="44" spans="1:5" x14ac:dyDescent="0.2">
      <c r="A44" s="41"/>
      <c r="B44" s="41"/>
      <c r="C44" s="41"/>
      <c r="D44" s="41"/>
      <c r="E44" s="41"/>
    </row>
    <row r="45" spans="1:5" x14ac:dyDescent="0.2">
      <c r="A45" s="41"/>
      <c r="B45" s="41"/>
      <c r="C45" s="41"/>
      <c r="D45" s="41"/>
      <c r="E45" s="41"/>
    </row>
    <row r="46" spans="1:5" x14ac:dyDescent="0.2">
      <c r="A46" s="41"/>
      <c r="B46" s="41"/>
      <c r="C46" s="41"/>
      <c r="D46" s="41"/>
      <c r="E46" s="41"/>
    </row>
    <row r="47" spans="1:5" x14ac:dyDescent="0.2">
      <c r="A47" s="41"/>
      <c r="B47" s="41"/>
      <c r="C47" s="41"/>
      <c r="D47" s="41"/>
      <c r="E47" s="41"/>
    </row>
  </sheetData>
  <mergeCells count="8">
    <mergeCell ref="A4:E4"/>
    <mergeCell ref="A5:E5"/>
    <mergeCell ref="B7:E7"/>
    <mergeCell ref="A6:E6"/>
    <mergeCell ref="G4:K4"/>
    <mergeCell ref="G5:K5"/>
    <mergeCell ref="G6:K6"/>
    <mergeCell ref="H7:K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44"/>
  <sheetViews>
    <sheetView topLeftCell="A8" zoomScaleNormal="100" workbookViewId="0">
      <selection activeCell="C9" sqref="C9"/>
    </sheetView>
  </sheetViews>
  <sheetFormatPr baseColWidth="10" defaultRowHeight="12.75" x14ac:dyDescent="0.2"/>
  <cols>
    <col min="1" max="1" width="11.5703125" customWidth="1"/>
    <col min="2" max="2" width="12.140625" customWidth="1"/>
    <col min="3" max="3" width="10.140625" customWidth="1"/>
    <col min="4" max="4" width="12" customWidth="1"/>
    <col min="5" max="5" width="12.28515625" customWidth="1"/>
    <col min="6" max="6" width="2.28515625" customWidth="1"/>
    <col min="7" max="7" width="11.28515625" customWidth="1"/>
    <col min="8" max="8" width="12.28515625" customWidth="1"/>
    <col min="9" max="9" width="10.42578125" customWidth="1"/>
    <col min="10" max="10" width="15.42578125" customWidth="1"/>
    <col min="11" max="11" width="15.85546875" customWidth="1"/>
  </cols>
  <sheetData>
    <row r="1" spans="1:14" x14ac:dyDescent="0.2">
      <c r="K1" s="15"/>
    </row>
    <row r="4" spans="1:14" x14ac:dyDescent="0.2">
      <c r="A4" s="288" t="s">
        <v>36</v>
      </c>
      <c r="B4" s="288"/>
      <c r="C4" s="288"/>
      <c r="D4" s="288"/>
      <c r="E4" s="288"/>
      <c r="F4" s="1"/>
      <c r="G4" s="288"/>
      <c r="H4" s="288"/>
      <c r="I4" s="288"/>
      <c r="J4" s="288"/>
      <c r="K4" s="288"/>
    </row>
    <row r="5" spans="1:14" x14ac:dyDescent="0.2">
      <c r="A5" s="288" t="s">
        <v>92</v>
      </c>
      <c r="B5" s="288"/>
      <c r="C5" s="288"/>
      <c r="D5" s="288"/>
      <c r="E5" s="288"/>
      <c r="F5" s="1"/>
      <c r="G5" s="288"/>
      <c r="H5" s="288"/>
      <c r="I5" s="288"/>
      <c r="J5" s="288"/>
      <c r="K5" s="288"/>
    </row>
    <row r="6" spans="1:14" x14ac:dyDescent="0.2">
      <c r="A6" s="38"/>
      <c r="B6" s="38"/>
      <c r="C6" s="38"/>
      <c r="D6" s="38"/>
      <c r="E6" s="38"/>
      <c r="F6" s="1"/>
      <c r="G6" s="38"/>
      <c r="H6" s="38"/>
      <c r="I6" s="38"/>
      <c r="J6" s="38"/>
      <c r="K6" s="38"/>
    </row>
    <row r="7" spans="1:14" ht="12.75" customHeight="1" x14ac:dyDescent="0.2">
      <c r="A7" s="18"/>
      <c r="B7" s="282" t="str">
        <f>'2. COMPR DEV 30%'!B7:E7</f>
        <v>DEL 01 DE ENERO AL 31 DE DICIEMBRE DEL AÑO 2024</v>
      </c>
      <c r="C7" s="283"/>
      <c r="D7" s="283"/>
      <c r="E7" s="284"/>
      <c r="G7" s="1"/>
      <c r="H7" s="289"/>
      <c r="I7" s="289"/>
      <c r="J7" s="289"/>
      <c r="K7" s="289"/>
    </row>
    <row r="8" spans="1:14" ht="45" x14ac:dyDescent="0.2">
      <c r="A8" s="28" t="s">
        <v>30</v>
      </c>
      <c r="B8" s="19" t="s">
        <v>31</v>
      </c>
      <c r="C8" s="20" t="s">
        <v>32</v>
      </c>
      <c r="D8" s="73" t="s">
        <v>33</v>
      </c>
      <c r="E8" s="21" t="s">
        <v>34</v>
      </c>
      <c r="G8" s="165"/>
      <c r="H8" s="238"/>
      <c r="I8" s="165"/>
      <c r="J8" s="165"/>
      <c r="K8" s="165"/>
    </row>
    <row r="9" spans="1:14" x14ac:dyDescent="0.2">
      <c r="A9" s="133" t="s">
        <v>17</v>
      </c>
      <c r="B9" s="134">
        <f>3+22+21+29+24</f>
        <v>99</v>
      </c>
      <c r="C9" s="135">
        <f>1.51+66.03+120.96+40.96+15.4</f>
        <v>244.86</v>
      </c>
      <c r="D9" s="135">
        <v>120604.11</v>
      </c>
      <c r="E9" s="135">
        <f>3594.79+23733.62+41539.36+25879.53+19185</f>
        <v>113932.3</v>
      </c>
      <c r="G9" s="250"/>
      <c r="H9" s="251"/>
      <c r="I9" s="252"/>
      <c r="J9" s="252"/>
      <c r="K9" s="252"/>
      <c r="L9" s="37"/>
      <c r="M9" s="37"/>
    </row>
    <row r="10" spans="1:14" x14ac:dyDescent="0.2">
      <c r="A10" s="133" t="s">
        <v>18</v>
      </c>
      <c r="B10" s="134">
        <v>0</v>
      </c>
      <c r="C10" s="135">
        <v>0</v>
      </c>
      <c r="D10" s="135">
        <v>0</v>
      </c>
      <c r="E10" s="135">
        <v>0</v>
      </c>
      <c r="G10" s="250"/>
      <c r="H10" s="251"/>
      <c r="I10" s="252"/>
      <c r="J10" s="252"/>
      <c r="K10" s="252"/>
      <c r="L10" s="10"/>
      <c r="M10" s="10"/>
    </row>
    <row r="11" spans="1:14" x14ac:dyDescent="0.2">
      <c r="A11" s="133" t="s">
        <v>19</v>
      </c>
      <c r="B11" s="134">
        <v>0</v>
      </c>
      <c r="C11" s="135">
        <v>0</v>
      </c>
      <c r="D11" s="135">
        <v>0</v>
      </c>
      <c r="E11" s="135">
        <v>0</v>
      </c>
      <c r="G11" s="250"/>
      <c r="H11" s="251"/>
      <c r="I11" s="252"/>
      <c r="J11" s="252"/>
      <c r="K11" s="252"/>
      <c r="L11" s="49"/>
      <c r="M11" s="50"/>
    </row>
    <row r="12" spans="1:14" x14ac:dyDescent="0.2">
      <c r="A12" s="133" t="s">
        <v>20</v>
      </c>
      <c r="B12" s="134">
        <v>0</v>
      </c>
      <c r="C12" s="135">
        <v>0</v>
      </c>
      <c r="D12" s="135">
        <v>0</v>
      </c>
      <c r="E12" s="135">
        <v>0</v>
      </c>
      <c r="G12" s="250"/>
      <c r="H12" s="251"/>
      <c r="I12" s="252"/>
      <c r="J12" s="252"/>
      <c r="K12" s="252"/>
      <c r="L12" s="50"/>
      <c r="M12" s="51"/>
    </row>
    <row r="13" spans="1:14" x14ac:dyDescent="0.2">
      <c r="A13" s="133" t="s">
        <v>21</v>
      </c>
      <c r="B13" s="134">
        <v>0</v>
      </c>
      <c r="C13" s="135">
        <v>0</v>
      </c>
      <c r="D13" s="135">
        <v>0</v>
      </c>
      <c r="E13" s="135">
        <v>0</v>
      </c>
      <c r="G13" s="250"/>
      <c r="H13" s="251"/>
      <c r="I13" s="252"/>
      <c r="J13" s="252"/>
      <c r="K13" s="252"/>
      <c r="L13" s="37"/>
      <c r="M13" s="50"/>
    </row>
    <row r="14" spans="1:14" x14ac:dyDescent="0.2">
      <c r="A14" s="133" t="s">
        <v>22</v>
      </c>
      <c r="B14" s="134">
        <v>0</v>
      </c>
      <c r="C14" s="135">
        <v>0</v>
      </c>
      <c r="D14" s="135">
        <v>0</v>
      </c>
      <c r="E14" s="135">
        <v>0</v>
      </c>
      <c r="G14" s="250"/>
      <c r="H14" s="251"/>
      <c r="I14" s="252"/>
      <c r="J14" s="252"/>
      <c r="K14" s="252"/>
      <c r="L14" s="50"/>
      <c r="N14" s="37"/>
    </row>
    <row r="15" spans="1:14" x14ac:dyDescent="0.2">
      <c r="A15" s="136" t="s">
        <v>23</v>
      </c>
      <c r="B15" s="134">
        <v>0</v>
      </c>
      <c r="C15" s="135">
        <v>0</v>
      </c>
      <c r="D15" s="135">
        <v>0</v>
      </c>
      <c r="E15" s="135">
        <v>0</v>
      </c>
      <c r="G15" s="250"/>
      <c r="H15" s="251"/>
      <c r="I15" s="252"/>
      <c r="J15" s="252"/>
      <c r="K15" s="252"/>
      <c r="L15" s="37"/>
      <c r="N15" s="37"/>
    </row>
    <row r="16" spans="1:14" x14ac:dyDescent="0.2">
      <c r="A16" s="133" t="s">
        <v>24</v>
      </c>
      <c r="B16" s="134">
        <v>0</v>
      </c>
      <c r="C16" s="135">
        <v>0</v>
      </c>
      <c r="D16" s="135">
        <v>0</v>
      </c>
      <c r="E16" s="135">
        <v>0</v>
      </c>
      <c r="G16" s="250"/>
      <c r="H16" s="251"/>
      <c r="I16" s="252"/>
      <c r="J16" s="252"/>
      <c r="K16" s="252"/>
      <c r="L16" s="52"/>
      <c r="M16" s="10"/>
      <c r="N16" s="37"/>
    </row>
    <row r="17" spans="1:14" x14ac:dyDescent="0.2">
      <c r="A17" s="133" t="s">
        <v>35</v>
      </c>
      <c r="B17" s="134">
        <v>0</v>
      </c>
      <c r="C17" s="135">
        <v>0</v>
      </c>
      <c r="D17" s="135">
        <v>0</v>
      </c>
      <c r="E17" s="135">
        <v>0</v>
      </c>
      <c r="G17" s="250"/>
      <c r="H17" s="251"/>
      <c r="I17" s="252"/>
      <c r="J17" s="252"/>
      <c r="K17" s="252"/>
      <c r="L17" s="50"/>
      <c r="M17" s="10"/>
      <c r="N17" s="37"/>
    </row>
    <row r="18" spans="1:14" x14ac:dyDescent="0.2">
      <c r="A18" s="133" t="s">
        <v>25</v>
      </c>
      <c r="B18" s="134">
        <v>0</v>
      </c>
      <c r="C18" s="135">
        <v>0</v>
      </c>
      <c r="D18" s="135">
        <v>0</v>
      </c>
      <c r="E18" s="135">
        <v>0</v>
      </c>
      <c r="G18" s="250"/>
      <c r="H18" s="251"/>
      <c r="I18" s="253"/>
      <c r="J18" s="253"/>
      <c r="K18" s="253"/>
      <c r="L18" s="50"/>
      <c r="M18" s="53"/>
      <c r="N18" s="37"/>
    </row>
    <row r="19" spans="1:14" x14ac:dyDescent="0.2">
      <c r="A19" s="133" t="s">
        <v>26</v>
      </c>
      <c r="B19" s="134">
        <v>0</v>
      </c>
      <c r="C19" s="135">
        <v>0</v>
      </c>
      <c r="D19" s="135">
        <v>0</v>
      </c>
      <c r="E19" s="135">
        <v>0</v>
      </c>
      <c r="G19" s="250"/>
      <c r="H19" s="251"/>
      <c r="I19" s="252"/>
      <c r="J19" s="252"/>
      <c r="K19" s="252"/>
      <c r="L19" s="53"/>
      <c r="M19" s="10"/>
      <c r="N19" s="37"/>
    </row>
    <row r="20" spans="1:14" x14ac:dyDescent="0.2">
      <c r="A20" s="133" t="s">
        <v>27</v>
      </c>
      <c r="B20" s="134">
        <v>0</v>
      </c>
      <c r="C20" s="135">
        <v>0</v>
      </c>
      <c r="D20" s="135">
        <v>0</v>
      </c>
      <c r="E20" s="135">
        <v>0</v>
      </c>
      <c r="G20" s="250"/>
      <c r="H20" s="251"/>
      <c r="I20" s="252"/>
      <c r="J20" s="252"/>
      <c r="K20" s="252"/>
      <c r="L20" s="37"/>
      <c r="M20" s="50"/>
      <c r="N20" s="37"/>
    </row>
    <row r="21" spans="1:14" x14ac:dyDescent="0.2">
      <c r="A21" s="26" t="s">
        <v>0</v>
      </c>
      <c r="B21" s="54">
        <f>SUM(B9:B20)</f>
        <v>99</v>
      </c>
      <c r="C21" s="81">
        <f>SUM(C9:C20)</f>
        <v>244.86</v>
      </c>
      <c r="D21" s="81">
        <f>SUM(D9:D20)</f>
        <v>120604.11</v>
      </c>
      <c r="E21" s="81">
        <f>SUM(E9:E20)</f>
        <v>113932.3</v>
      </c>
      <c r="G21" s="2"/>
      <c r="H21" s="236"/>
      <c r="I21" s="254"/>
      <c r="J21" s="254"/>
      <c r="K21" s="254"/>
      <c r="L21" s="10"/>
      <c r="M21" s="10"/>
      <c r="N21" s="37"/>
    </row>
    <row r="22" spans="1:14" x14ac:dyDescent="0.2">
      <c r="A22" s="64" t="s">
        <v>82</v>
      </c>
      <c r="B22" s="1"/>
      <c r="C22" s="1"/>
      <c r="D22" s="1"/>
      <c r="E22" s="6"/>
      <c r="G22" s="255"/>
      <c r="H22" s="1"/>
      <c r="I22" s="1"/>
      <c r="J22" s="1"/>
    </row>
    <row r="23" spans="1:14" x14ac:dyDescent="0.2">
      <c r="A23" s="63"/>
      <c r="B23" s="13"/>
    </row>
    <row r="24" spans="1:14" x14ac:dyDescent="0.2">
      <c r="A24" s="63"/>
      <c r="B24" s="1"/>
      <c r="C24" s="1"/>
      <c r="D24" s="1"/>
      <c r="E24" s="1"/>
      <c r="F24" s="1"/>
    </row>
    <row r="25" spans="1:14" x14ac:dyDescent="0.2">
      <c r="A25" s="63"/>
      <c r="B25" s="14"/>
      <c r="C25" s="1"/>
      <c r="D25" s="1"/>
      <c r="E25" s="1"/>
      <c r="F25" s="1"/>
    </row>
    <row r="26" spans="1:14" x14ac:dyDescent="0.2">
      <c r="A26" s="4"/>
      <c r="B26" s="15"/>
      <c r="C26" s="1"/>
      <c r="D26" s="1"/>
      <c r="F26" s="1"/>
      <c r="J26" s="1"/>
    </row>
    <row r="27" spans="1:14" x14ac:dyDescent="0.2">
      <c r="A27" s="4"/>
      <c r="B27" s="15"/>
      <c r="C27" s="229"/>
      <c r="D27" s="229"/>
      <c r="E27" s="229"/>
      <c r="F27" s="1"/>
    </row>
    <row r="28" spans="1:14" x14ac:dyDescent="0.2">
      <c r="A28" s="4"/>
      <c r="B28" s="7" t="s">
        <v>83</v>
      </c>
      <c r="C28" s="230"/>
      <c r="D28" s="231"/>
      <c r="E28" s="232"/>
      <c r="F28" s="232"/>
      <c r="G28" s="4"/>
      <c r="H28" s="7"/>
      <c r="I28" s="230"/>
      <c r="J28" s="231"/>
      <c r="K28" s="177"/>
    </row>
    <row r="29" spans="1:14" x14ac:dyDescent="0.2">
      <c r="A29" s="4"/>
      <c r="B29" s="14"/>
      <c r="C29" s="8" t="s">
        <v>84</v>
      </c>
      <c r="D29" s="1"/>
      <c r="E29" s="5"/>
      <c r="F29" s="5"/>
      <c r="G29" s="4"/>
      <c r="H29" s="14"/>
      <c r="I29" s="8"/>
      <c r="J29" s="1"/>
      <c r="K29" s="166"/>
    </row>
    <row r="30" spans="1:14" x14ac:dyDescent="0.2">
      <c r="A30" s="4"/>
      <c r="B30" s="3"/>
      <c r="C30" s="233" t="s">
        <v>85</v>
      </c>
      <c r="D30" s="1"/>
      <c r="E30" s="2"/>
      <c r="F30" s="2"/>
      <c r="G30" s="1"/>
      <c r="H30" s="3"/>
      <c r="I30" s="233"/>
      <c r="J30" s="1"/>
      <c r="K30" s="166"/>
    </row>
    <row r="31" spans="1:14" x14ac:dyDescent="0.2">
      <c r="A31" s="55"/>
      <c r="B31" s="9"/>
      <c r="C31" s="9"/>
      <c r="F31" s="1"/>
    </row>
    <row r="32" spans="1:14" x14ac:dyDescent="0.2">
      <c r="A32" s="9"/>
      <c r="B32" s="4"/>
      <c r="F32" s="1"/>
      <c r="H32" s="1"/>
      <c r="I32" s="1"/>
    </row>
    <row r="33" spans="1:9" x14ac:dyDescent="0.2">
      <c r="A33" s="23"/>
      <c r="B33" s="1"/>
      <c r="C33" s="1"/>
      <c r="D33" s="1"/>
      <c r="E33" s="1"/>
      <c r="F33" s="1"/>
      <c r="H33" s="1"/>
      <c r="I33" s="1"/>
    </row>
    <row r="34" spans="1:9" x14ac:dyDescent="0.2">
      <c r="B34" s="3"/>
      <c r="C34" s="3"/>
      <c r="D34" s="3"/>
      <c r="E34" s="1"/>
      <c r="F34" s="1"/>
      <c r="H34" s="1"/>
      <c r="I34" s="1"/>
    </row>
    <row r="35" spans="1:9" x14ac:dyDescent="0.2">
      <c r="B35" s="3"/>
      <c r="C35" s="3"/>
      <c r="D35" s="3"/>
      <c r="E35" s="1"/>
      <c r="F35" s="1"/>
    </row>
    <row r="36" spans="1:9" x14ac:dyDescent="0.2">
      <c r="A36" s="1"/>
      <c r="B36" s="1"/>
      <c r="C36" s="1"/>
      <c r="D36" s="1"/>
      <c r="E36" s="1"/>
      <c r="F36" s="1"/>
    </row>
    <row r="37" spans="1:9" x14ac:dyDescent="0.2">
      <c r="A37" s="1"/>
      <c r="B37" s="1"/>
      <c r="C37" s="1"/>
      <c r="D37" s="1"/>
      <c r="E37" s="1"/>
      <c r="F37" s="1"/>
    </row>
    <row r="38" spans="1:9" x14ac:dyDescent="0.2">
      <c r="A38" s="1"/>
      <c r="B38" s="1"/>
      <c r="C38" s="1"/>
      <c r="D38" s="1"/>
      <c r="E38" s="1"/>
      <c r="F38" s="1"/>
    </row>
    <row r="39" spans="1:9" x14ac:dyDescent="0.2">
      <c r="A39" s="1"/>
      <c r="B39" s="1"/>
      <c r="C39" s="1"/>
      <c r="D39" s="1"/>
      <c r="E39" s="1"/>
      <c r="F39" s="1"/>
    </row>
    <row r="40" spans="1:9" x14ac:dyDescent="0.2">
      <c r="A40" s="1"/>
      <c r="B40" s="1"/>
      <c r="C40" s="1"/>
      <c r="D40" s="1"/>
      <c r="E40" s="1"/>
      <c r="F40" s="1"/>
    </row>
    <row r="41" spans="1:9" x14ac:dyDescent="0.2">
      <c r="A41" s="1"/>
      <c r="B41" s="1"/>
      <c r="C41" s="1"/>
      <c r="D41" s="1"/>
      <c r="E41" s="1"/>
      <c r="F41" s="1"/>
    </row>
    <row r="42" spans="1:9" x14ac:dyDescent="0.2">
      <c r="A42" s="1"/>
      <c r="B42" s="1"/>
      <c r="C42" s="1"/>
      <c r="D42" s="1"/>
      <c r="E42" s="1"/>
      <c r="F42" s="1"/>
    </row>
    <row r="43" spans="1:9" x14ac:dyDescent="0.2">
      <c r="A43" s="1"/>
      <c r="B43" s="1"/>
      <c r="C43" s="1"/>
      <c r="D43" s="1"/>
      <c r="E43" s="1"/>
      <c r="F43" s="1"/>
    </row>
    <row r="44" spans="1:9" x14ac:dyDescent="0.2">
      <c r="A44" s="1"/>
      <c r="B44" s="1"/>
      <c r="C44" s="1"/>
      <c r="D44" s="1"/>
      <c r="E44" s="1"/>
      <c r="F44" s="1"/>
    </row>
  </sheetData>
  <mergeCells count="6">
    <mergeCell ref="A4:E4"/>
    <mergeCell ref="G4:K4"/>
    <mergeCell ref="A5:E5"/>
    <mergeCell ref="G5:K5"/>
    <mergeCell ref="B7:E7"/>
    <mergeCell ref="H7:K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P42"/>
  <sheetViews>
    <sheetView topLeftCell="A11" workbookViewId="0">
      <selection activeCell="D12" sqref="D12"/>
    </sheetView>
  </sheetViews>
  <sheetFormatPr baseColWidth="10" defaultRowHeight="12.75" x14ac:dyDescent="0.2"/>
  <cols>
    <col min="1" max="1" width="1.5703125" customWidth="1"/>
    <col min="2" max="2" width="11.140625" customWidth="1"/>
    <col min="3" max="3" width="9.42578125" customWidth="1"/>
    <col min="4" max="4" width="10.5703125" customWidth="1"/>
    <col min="5" max="5" width="15.140625" customWidth="1"/>
    <col min="6" max="6" width="14.85546875" customWidth="1"/>
    <col min="7" max="7" width="3.85546875" customWidth="1"/>
    <col min="8" max="8" width="11.42578125" customWidth="1"/>
    <col min="9" max="9" width="8.85546875" customWidth="1"/>
    <col min="10" max="10" width="10.42578125" customWidth="1"/>
    <col min="11" max="12" width="14.140625" customWidth="1"/>
    <col min="13" max="14" width="12.28515625" bestFit="1" customWidth="1"/>
  </cols>
  <sheetData>
    <row r="3" spans="2:15" x14ac:dyDescent="0.2">
      <c r="L3" s="15"/>
    </row>
    <row r="5" spans="2:15" x14ac:dyDescent="0.2">
      <c r="B5" s="16"/>
    </row>
    <row r="6" spans="2:15" x14ac:dyDescent="0.2">
      <c r="B6" s="17"/>
      <c r="C6" s="17"/>
      <c r="D6" s="17"/>
      <c r="E6" s="17"/>
    </row>
    <row r="7" spans="2:15" x14ac:dyDescent="0.2">
      <c r="B7" s="17"/>
      <c r="C7" s="17"/>
      <c r="D7" s="17"/>
      <c r="E7" s="17"/>
    </row>
    <row r="8" spans="2:15" x14ac:dyDescent="0.2">
      <c r="B8" s="288" t="s">
        <v>37</v>
      </c>
      <c r="C8" s="288"/>
      <c r="D8" s="288"/>
      <c r="E8" s="288"/>
      <c r="F8" s="288"/>
      <c r="G8" s="1"/>
      <c r="H8" s="288"/>
      <c r="I8" s="288"/>
      <c r="J8" s="288"/>
      <c r="K8" s="288"/>
      <c r="L8" s="288"/>
    </row>
    <row r="9" spans="2:15" x14ac:dyDescent="0.2">
      <c r="B9" s="290" t="s">
        <v>93</v>
      </c>
      <c r="C9" s="290"/>
      <c r="D9" s="290"/>
      <c r="E9" s="290"/>
      <c r="F9" s="290"/>
      <c r="G9" s="1"/>
      <c r="H9" s="290"/>
      <c r="I9" s="290"/>
      <c r="J9" s="290"/>
      <c r="K9" s="290"/>
      <c r="L9" s="290"/>
    </row>
    <row r="10" spans="2:15" ht="12.75" customHeight="1" x14ac:dyDescent="0.2">
      <c r="B10" s="18"/>
      <c r="C10" s="282" t="s">
        <v>90</v>
      </c>
      <c r="D10" s="283"/>
      <c r="E10" s="283"/>
      <c r="F10" s="284"/>
      <c r="H10" s="1"/>
      <c r="I10" s="289"/>
      <c r="J10" s="289"/>
      <c r="K10" s="289"/>
      <c r="L10" s="289"/>
    </row>
    <row r="11" spans="2:15" ht="45" x14ac:dyDescent="0.2">
      <c r="B11" s="28" t="s">
        <v>30</v>
      </c>
      <c r="C11" s="35" t="s">
        <v>41</v>
      </c>
      <c r="D11" s="30" t="s">
        <v>32</v>
      </c>
      <c r="E11" s="225" t="s">
        <v>33</v>
      </c>
      <c r="F11" s="227" t="s">
        <v>38</v>
      </c>
      <c r="H11" s="165"/>
      <c r="I11" s="238"/>
      <c r="J11" s="165"/>
      <c r="K11" s="165"/>
      <c r="L11" s="165"/>
      <c r="N11" s="165"/>
    </row>
    <row r="12" spans="2:15" x14ac:dyDescent="0.2">
      <c r="B12" s="24" t="s">
        <v>17</v>
      </c>
      <c r="C12" s="33">
        <f>9+10+28+11+7</f>
        <v>65</v>
      </c>
      <c r="D12" s="135">
        <f>52+105.26+265.77+56.99+60.11</f>
        <v>540.13</v>
      </c>
      <c r="E12" s="135">
        <f>9765.6+27443.4+49363.75+10858.8+10827.6</f>
        <v>108259.15000000001</v>
      </c>
      <c r="F12" s="135">
        <f>10233.72+29609.04+52305.7+11371.61+11368.48</f>
        <v>114888.54999999999</v>
      </c>
      <c r="H12" s="250"/>
      <c r="I12" s="15"/>
      <c r="J12" s="252"/>
      <c r="K12" s="252"/>
      <c r="L12" s="252"/>
      <c r="M12" s="66"/>
      <c r="O12" s="37"/>
    </row>
    <row r="13" spans="2:15" x14ac:dyDescent="0.2">
      <c r="B13" s="24" t="s">
        <v>18</v>
      </c>
      <c r="C13" s="33">
        <v>0</v>
      </c>
      <c r="D13" s="31">
        <v>0</v>
      </c>
      <c r="E13" s="226">
        <v>0</v>
      </c>
      <c r="F13" s="228">
        <v>0</v>
      </c>
      <c r="H13" s="250"/>
      <c r="I13" s="15"/>
      <c r="J13" s="229"/>
      <c r="K13" s="229"/>
      <c r="L13" s="229"/>
      <c r="M13" s="66"/>
      <c r="N13" s="50"/>
      <c r="O13" s="37"/>
    </row>
    <row r="14" spans="2:15" x14ac:dyDescent="0.2">
      <c r="B14" s="24" t="s">
        <v>19</v>
      </c>
      <c r="C14" s="33">
        <v>0</v>
      </c>
      <c r="D14" s="31">
        <v>0</v>
      </c>
      <c r="E14" s="31">
        <v>0</v>
      </c>
      <c r="F14" s="25">
        <v>0</v>
      </c>
      <c r="H14" s="250"/>
      <c r="I14" s="15"/>
      <c r="J14" s="229"/>
      <c r="K14" s="229"/>
      <c r="L14" s="229"/>
      <c r="M14" s="66"/>
      <c r="N14" s="49"/>
      <c r="O14" s="10"/>
    </row>
    <row r="15" spans="2:15" x14ac:dyDescent="0.2">
      <c r="B15" s="24" t="s">
        <v>20</v>
      </c>
      <c r="C15" s="33">
        <v>0</v>
      </c>
      <c r="D15" s="31">
        <v>0</v>
      </c>
      <c r="E15" s="31">
        <v>0</v>
      </c>
      <c r="F15" s="25">
        <v>0</v>
      </c>
      <c r="H15" s="250"/>
      <c r="I15" s="15"/>
      <c r="J15" s="229"/>
      <c r="K15" s="229"/>
      <c r="L15" s="229"/>
      <c r="M15" s="56"/>
      <c r="O15" s="10"/>
    </row>
    <row r="16" spans="2:15" x14ac:dyDescent="0.2">
      <c r="B16" s="24" t="s">
        <v>21</v>
      </c>
      <c r="C16" s="33">
        <v>0</v>
      </c>
      <c r="D16" s="31">
        <v>0</v>
      </c>
      <c r="E16" s="31">
        <v>0</v>
      </c>
      <c r="F16" s="25">
        <v>0</v>
      </c>
      <c r="H16" s="250"/>
      <c r="I16" s="15"/>
      <c r="J16" s="229"/>
      <c r="K16" s="229"/>
      <c r="L16" s="229"/>
      <c r="M16" s="50"/>
      <c r="N16" s="49"/>
      <c r="O16" s="10"/>
    </row>
    <row r="17" spans="1:16" x14ac:dyDescent="0.2">
      <c r="B17" s="24" t="s">
        <v>22</v>
      </c>
      <c r="C17" s="33">
        <v>0</v>
      </c>
      <c r="D17" s="31">
        <v>0</v>
      </c>
      <c r="E17" s="31">
        <v>0</v>
      </c>
      <c r="F17" s="25">
        <v>0</v>
      </c>
      <c r="H17" s="250"/>
      <c r="I17" s="15"/>
      <c r="J17" s="229"/>
      <c r="K17" s="229"/>
      <c r="L17" s="229"/>
      <c r="M17" s="50"/>
      <c r="N17" s="49"/>
      <c r="O17" s="10"/>
    </row>
    <row r="18" spans="1:16" x14ac:dyDescent="0.2">
      <c r="B18" s="22" t="s">
        <v>39</v>
      </c>
      <c r="C18" s="33">
        <v>0</v>
      </c>
      <c r="D18" s="31">
        <v>0</v>
      </c>
      <c r="E18" s="31">
        <v>0</v>
      </c>
      <c r="F18" s="25">
        <v>0</v>
      </c>
      <c r="G18" s="256"/>
      <c r="H18" s="250"/>
      <c r="I18" s="15"/>
      <c r="J18" s="229"/>
      <c r="K18" s="229"/>
      <c r="L18" s="229"/>
      <c r="M18" s="37"/>
      <c r="N18" s="49"/>
      <c r="O18" s="37"/>
    </row>
    <row r="19" spans="1:16" x14ac:dyDescent="0.2">
      <c r="B19" s="48" t="s">
        <v>24</v>
      </c>
      <c r="C19" s="33">
        <v>0</v>
      </c>
      <c r="D19" s="31">
        <v>0</v>
      </c>
      <c r="E19" s="31">
        <v>0</v>
      </c>
      <c r="F19" s="25">
        <v>0</v>
      </c>
      <c r="H19" s="250"/>
      <c r="I19" s="15"/>
      <c r="J19" s="229"/>
      <c r="K19" s="229"/>
      <c r="L19" s="229"/>
      <c r="M19" s="37"/>
      <c r="N19" s="10"/>
      <c r="O19" s="10"/>
    </row>
    <row r="20" spans="1:16" x14ac:dyDescent="0.2">
      <c r="B20" s="48" t="s">
        <v>35</v>
      </c>
      <c r="C20" s="33">
        <v>0</v>
      </c>
      <c r="D20" s="31">
        <v>0</v>
      </c>
      <c r="E20" s="31">
        <v>0</v>
      </c>
      <c r="F20" s="25">
        <v>0</v>
      </c>
      <c r="H20" s="250"/>
      <c r="I20" s="15"/>
      <c r="J20" s="229"/>
      <c r="K20" s="229"/>
      <c r="L20" s="229"/>
      <c r="M20" s="57"/>
      <c r="N20" s="52"/>
      <c r="O20" s="50"/>
      <c r="P20" s="10"/>
    </row>
    <row r="21" spans="1:16" x14ac:dyDescent="0.2">
      <c r="B21" s="24" t="s">
        <v>25</v>
      </c>
      <c r="C21" s="33">
        <v>0</v>
      </c>
      <c r="D21" s="31">
        <v>0</v>
      </c>
      <c r="E21" s="31">
        <v>0</v>
      </c>
      <c r="F21" s="25">
        <v>0</v>
      </c>
      <c r="H21" s="250"/>
      <c r="I21" s="15"/>
      <c r="J21" s="229"/>
      <c r="K21" s="229"/>
      <c r="L21" s="229"/>
      <c r="M21" s="50"/>
      <c r="N21" s="37"/>
      <c r="O21" s="10"/>
    </row>
    <row r="22" spans="1:16" x14ac:dyDescent="0.2">
      <c r="B22" s="24" t="s">
        <v>26</v>
      </c>
      <c r="C22" s="33">
        <v>0</v>
      </c>
      <c r="D22" s="31">
        <v>0</v>
      </c>
      <c r="E22" s="31">
        <v>0</v>
      </c>
      <c r="F22" s="25">
        <v>0</v>
      </c>
      <c r="H22" s="250"/>
      <c r="I22" s="15"/>
      <c r="J22" s="229"/>
      <c r="K22" s="229"/>
      <c r="L22" s="229"/>
      <c r="M22" s="58"/>
      <c r="N22" s="59"/>
      <c r="O22" s="10"/>
      <c r="P22" s="1"/>
    </row>
    <row r="23" spans="1:16" x14ac:dyDescent="0.2">
      <c r="B23" s="24" t="s">
        <v>27</v>
      </c>
      <c r="C23" s="33">
        <v>0</v>
      </c>
      <c r="D23" s="31">
        <v>0</v>
      </c>
      <c r="E23" s="31">
        <v>0</v>
      </c>
      <c r="F23" s="25">
        <v>0</v>
      </c>
      <c r="H23" s="250"/>
      <c r="I23" s="15"/>
      <c r="J23" s="229"/>
      <c r="K23" s="229"/>
      <c r="L23" s="229"/>
      <c r="M23" s="50"/>
      <c r="N23" s="10"/>
      <c r="O23" s="10"/>
    </row>
    <row r="24" spans="1:16" x14ac:dyDescent="0.2">
      <c r="B24" s="26" t="s">
        <v>0</v>
      </c>
      <c r="C24" s="34">
        <f>SUM(C12:C23)</f>
        <v>65</v>
      </c>
      <c r="D24" s="32">
        <f>SUM(D12:D23)</f>
        <v>540.13</v>
      </c>
      <c r="E24" s="60">
        <f>SUM(E12:E23)</f>
        <v>108259.15000000001</v>
      </c>
      <c r="F24" s="27">
        <f>SUM(F12:F23)</f>
        <v>114888.54999999999</v>
      </c>
      <c r="H24" s="2"/>
      <c r="I24" s="236"/>
      <c r="J24" s="257"/>
      <c r="K24" s="257"/>
      <c r="L24" s="257"/>
      <c r="M24" s="37"/>
      <c r="N24" s="61"/>
      <c r="O24" s="10"/>
    </row>
    <row r="25" spans="1:16" x14ac:dyDescent="0.2">
      <c r="B25" s="164" t="s">
        <v>82</v>
      </c>
      <c r="I25" s="4"/>
      <c r="J25" s="1"/>
      <c r="L25" s="7"/>
      <c r="M25" s="37"/>
    </row>
    <row r="26" spans="1:16" x14ac:dyDescent="0.2">
      <c r="I26" s="4"/>
      <c r="N26" s="10"/>
    </row>
    <row r="27" spans="1:16" x14ac:dyDescent="0.2">
      <c r="A27" s="4"/>
      <c r="B27" s="63"/>
      <c r="C27" s="1"/>
      <c r="D27" s="1"/>
      <c r="E27" s="1"/>
      <c r="F27" s="1"/>
      <c r="G27" s="1"/>
    </row>
    <row r="28" spans="1:16" x14ac:dyDescent="0.2">
      <c r="B28" s="63"/>
    </row>
    <row r="29" spans="1:16" x14ac:dyDescent="0.2">
      <c r="B29" s="63"/>
      <c r="E29" s="13"/>
      <c r="N29" s="10"/>
    </row>
    <row r="30" spans="1:16" x14ac:dyDescent="0.2">
      <c r="B30" s="1"/>
      <c r="D30" s="3"/>
      <c r="E30" s="3"/>
    </row>
    <row r="31" spans="1:16" x14ac:dyDescent="0.2">
      <c r="B31" s="1"/>
      <c r="C31" s="7" t="s">
        <v>83</v>
      </c>
      <c r="D31" s="230"/>
      <c r="E31" s="231"/>
      <c r="F31" s="232"/>
      <c r="G31" s="232"/>
      <c r="H31" s="4"/>
      <c r="I31" s="7"/>
      <c r="J31" s="230"/>
      <c r="K31" s="231"/>
      <c r="L31" s="177"/>
    </row>
    <row r="32" spans="1:16" x14ac:dyDescent="0.2">
      <c r="A32" s="1"/>
      <c r="B32" s="29"/>
      <c r="C32" s="14"/>
      <c r="D32" s="8" t="s">
        <v>84</v>
      </c>
      <c r="E32" s="1"/>
      <c r="F32" s="5"/>
      <c r="G32" s="5"/>
      <c r="H32" s="4"/>
      <c r="I32" s="14"/>
      <c r="J32" s="8"/>
      <c r="K32" s="1"/>
      <c r="L32" s="166"/>
      <c r="M32" s="4"/>
    </row>
    <row r="33" spans="1:13" x14ac:dyDescent="0.2">
      <c r="A33" s="36"/>
      <c r="B33" s="36"/>
      <c r="C33" s="3"/>
      <c r="D33" s="233" t="s">
        <v>85</v>
      </c>
      <c r="E33" s="1"/>
      <c r="F33" s="2"/>
      <c r="G33" s="2"/>
      <c r="H33" s="1"/>
      <c r="I33" s="3"/>
      <c r="J33" s="233"/>
      <c r="K33" s="1"/>
      <c r="L33" s="166"/>
      <c r="M33" s="4"/>
    </row>
    <row r="34" spans="1:13" x14ac:dyDescent="0.2">
      <c r="B34" s="4"/>
      <c r="C34" s="1"/>
      <c r="D34" s="1"/>
      <c r="E34" s="1"/>
      <c r="F34" s="4"/>
      <c r="G34" s="4"/>
      <c r="H34" s="4"/>
      <c r="I34" s="4"/>
      <c r="J34" s="4"/>
      <c r="K34" s="4"/>
      <c r="L34" s="4"/>
      <c r="M34" s="4"/>
    </row>
    <row r="35" spans="1:13" x14ac:dyDescent="0.2">
      <c r="B35" s="1"/>
      <c r="C35" s="1"/>
      <c r="D35" s="1"/>
      <c r="E35" s="1"/>
      <c r="F35" s="1"/>
      <c r="G35" s="1"/>
    </row>
    <row r="36" spans="1:13" x14ac:dyDescent="0.2">
      <c r="F36" s="1"/>
      <c r="G36" s="1"/>
    </row>
    <row r="37" spans="1:13" x14ac:dyDescent="0.2">
      <c r="F37" s="1"/>
      <c r="G37" s="1"/>
    </row>
    <row r="38" spans="1:13" x14ac:dyDescent="0.2">
      <c r="F38" s="1"/>
      <c r="G38" s="1"/>
    </row>
    <row r="39" spans="1:13" x14ac:dyDescent="0.2">
      <c r="B39" s="1"/>
      <c r="C39" s="1"/>
      <c r="D39" s="1"/>
      <c r="E39" s="1"/>
      <c r="F39" s="1"/>
      <c r="G39" s="1"/>
    </row>
    <row r="40" spans="1:13" x14ac:dyDescent="0.2">
      <c r="B40" s="1"/>
      <c r="C40" s="1"/>
      <c r="D40" s="1"/>
      <c r="E40" s="1"/>
      <c r="F40" s="1"/>
      <c r="G40" s="1"/>
    </row>
    <row r="41" spans="1:13" x14ac:dyDescent="0.2">
      <c r="B41" s="1"/>
      <c r="C41" s="1"/>
      <c r="D41" s="1"/>
      <c r="E41" s="1"/>
      <c r="F41" s="1"/>
      <c r="G41" s="1"/>
    </row>
    <row r="42" spans="1:13" x14ac:dyDescent="0.2">
      <c r="B42" s="1"/>
      <c r="C42" s="1"/>
      <c r="D42" s="1"/>
      <c r="E42" s="1"/>
      <c r="F42" s="1"/>
      <c r="G42" s="1"/>
    </row>
  </sheetData>
  <mergeCells count="6">
    <mergeCell ref="B8:F8"/>
    <mergeCell ref="H8:L8"/>
    <mergeCell ref="B9:F9"/>
    <mergeCell ref="H9:L9"/>
    <mergeCell ref="C10:F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ACUMULADO</vt:lpstr>
      <vt:lpstr>RESUMEN MENSUAL</vt:lpstr>
      <vt:lpstr>1. RESUMEN DE PAGADOS </vt:lpstr>
      <vt:lpstr>2. COMPR DEV 30%</vt:lpstr>
      <vt:lpstr>3. COMP VR</vt:lpstr>
      <vt:lpstr>4. COMP VP</vt:lpstr>
    </vt:vector>
  </TitlesOfParts>
  <Company>Caja Mutual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Ester</dc:creator>
  <cp:lastModifiedBy>Beraly Morataya</cp:lastModifiedBy>
  <cp:lastPrinted>2022-04-07T13:03:42Z</cp:lastPrinted>
  <dcterms:created xsi:type="dcterms:W3CDTF">2002-04-29T19:59:45Z</dcterms:created>
  <dcterms:modified xsi:type="dcterms:W3CDTF">2024-04-11T21:05:26Z</dcterms:modified>
</cp:coreProperties>
</file>