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xr:revisionPtr revIDLastSave="0" documentId="13_ncr:801_{98F253C2-1315-4F59-8842-E91F72800791}" xr6:coauthVersionLast="47" xr6:coauthVersionMax="47" xr10:uidLastSave="{00000000-0000-0000-0000-000000000000}"/>
  <bookViews>
    <workbookView minimized="1" xWindow="2640" yWindow="690" windowWidth="12960" windowHeight="10920" firstSheet="9" activeTab="9" xr2:uid="{00000000-000D-0000-FFFF-FFFF00000000}"/>
  </bookViews>
  <sheets>
    <sheet name="Presupuesto 2014 ESC.1" sheetId="9" state="hidden" r:id="rId1"/>
    <sheet name="Presupuesto 2014 ESC.1 (2)" sheetId="21" state="hidden" r:id="rId2"/>
    <sheet name="Presupuesto 2022 (3)" sheetId="41" state="hidden" r:id="rId3"/>
    <sheet name="Presupuesto 2022 (2)" sheetId="40" state="hidden" r:id="rId4"/>
    <sheet name="Presupuesto 18-21" sheetId="38" state="hidden" r:id="rId5"/>
    <sheet name="Presupuesto 2023" sheetId="23" r:id="rId6"/>
    <sheet name="Mov. Superavit" sheetId="3" r:id="rId7"/>
    <sheet name="Intereses" sheetId="6" r:id="rId8"/>
    <sheet name="Proyección del Superavit" sheetId="37" r:id="rId9"/>
    <sheet name="Gráfico Mov. Superávit" sheetId="36" r:id="rId10"/>
    <sheet name="Plan Estratégico" sheetId="33" r:id="rId11"/>
    <sheet name="Conciliacion 2016-17" sheetId="32" state="hidden" r:id="rId12"/>
    <sheet name="Base Datos Cierres " sheetId="28" r:id="rId13"/>
    <sheet name="Tabla Cierres" sheetId="29" r:id="rId14"/>
    <sheet name="Centros de Formación" sheetId="35" state="hidden" r:id="rId15"/>
    <sheet name="Presupuesto 2016" sheetId="27" state="hidden" r:id="rId16"/>
    <sheet name="Liquidación Pto 2014" sheetId="25" state="hidden" r:id="rId17"/>
    <sheet name="Hoja1" sheetId="24" state="hidden" r:id="rId18"/>
    <sheet name="Equilibrio Formación" sheetId="10" state="hidden" r:id="rId19"/>
    <sheet name="Presupuesto DGP FINAL" sheetId="4" state="hidden" r:id="rId20"/>
    <sheet name="PTOS 2011-2012+ OPS 1 Y2" sheetId="5" state="hidden" r:id="rId21"/>
    <sheet name="Capacitación con PATI" sheetId="2" state="hidden" r:id="rId22"/>
    <sheet name="Pasivo por U.ORG." sheetId="16" state="hidden" r:id="rId23"/>
  </sheets>
  <externalReferences>
    <externalReference r:id="rId24"/>
    <externalReference r:id="rId25"/>
    <externalReference r:id="rId26"/>
  </externalReferences>
  <definedNames>
    <definedName name="_xlnm._FilterDatabase" localSheetId="22" hidden="1">'Pasivo por U.ORG.'!$A$1:$F$1</definedName>
    <definedName name="_xlnm._FilterDatabase" localSheetId="15" hidden="1">'Presupuesto 2016'!$M$7:$P$7</definedName>
    <definedName name="_xlnm._FilterDatabase" localSheetId="3" hidden="1">'Presupuesto 2022 (2)'!$N$6:$V$6</definedName>
    <definedName name="_xlnm._FilterDatabase" localSheetId="2" hidden="1">'Presupuesto 2022 (3)'!$N$6:$V$6</definedName>
    <definedName name="_xlnm._FilterDatabase" localSheetId="5" hidden="1">'Presupuesto 2023'!$L$6:$T$6</definedName>
    <definedName name="ASISI">'[1]Simulador II'!$M$6</definedName>
    <definedName name="GTE">'[1]Simulador II'!$M$21</definedName>
    <definedName name="TECNOI">'[1]Simulador II'!$M$17</definedName>
    <definedName name="total" localSheetId="12">#REF!</definedName>
    <definedName name="total" localSheetId="18">#REF!</definedName>
    <definedName name="total" localSheetId="9">#REF!</definedName>
    <definedName name="total" localSheetId="16">#REF!</definedName>
    <definedName name="total" localSheetId="4">#REF!</definedName>
    <definedName name="total" localSheetId="1">#REF!</definedName>
    <definedName name="total" localSheetId="15">#REF!</definedName>
    <definedName name="total" localSheetId="3">#REF!</definedName>
    <definedName name="total" localSheetId="2">#REF!</definedName>
    <definedName name="total" localSheetId="5">#REF!</definedName>
    <definedName name="total" localSheetId="19">'Presupuesto DGP FINAL'!$J$3</definedName>
    <definedName name="total" localSheetId="8">#REF!</definedName>
    <definedName name="total" localSheetId="20">'PTOS 2011-2012+ OPS 1 Y2'!$J$3</definedName>
    <definedName name="total">#REF!</definedName>
  </definedNames>
  <calcPr calcId="191029"/>
  <oleSize ref="A4:T53"/>
  <pivotCaches>
    <pivotCache cacheId="0" r:id="rId2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Morena Emilia Alvarenga</author>
  </authors>
  <commentList>
    <comment ref="A12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Morena Emilia Alvarenga:</t>
        </r>
        <r>
          <rPr>
            <sz val="9"/>
            <color indexed="81"/>
            <rFont val="Tahoma"/>
            <family val="2"/>
          </rPr>
          <t xml:space="preserve">
 tasa interés promedio al 14 de agosto de 2017</t>
        </r>
      </text>
    </comment>
  </commentList>
</comments>
</file>

<file path=xl/sharedStrings.xml><?xml version="1.0" encoding="utf-8"?>
<sst xmlns="http://schemas.openxmlformats.org/spreadsheetml/2006/main" count="1819" uniqueCount="466">
  <si>
    <t xml:space="preserve">Concepto </t>
  </si>
  <si>
    <t>%</t>
  </si>
  <si>
    <t>INGRESOS</t>
  </si>
  <si>
    <t>Contribuciones patronales</t>
  </si>
  <si>
    <t>Ingresos financieros</t>
  </si>
  <si>
    <t>Total ingresos</t>
  </si>
  <si>
    <t>Refuerzo Presupuestario Original</t>
  </si>
  <si>
    <t>TOTAL FUENTES FINANCIAMIENTO</t>
  </si>
  <si>
    <t>EGRESOS</t>
  </si>
  <si>
    <t>Total Ejecución</t>
  </si>
  <si>
    <t>FORMACION PROFESIONAL</t>
  </si>
  <si>
    <t>Formación Continua</t>
  </si>
  <si>
    <t>Formación Inicial</t>
  </si>
  <si>
    <t>Total Formación Profesional</t>
  </si>
  <si>
    <r>
      <t>INVESTIGACION Y DESARROLLO</t>
    </r>
    <r>
      <rPr>
        <b/>
        <sz val="11"/>
        <rFont val="Arial"/>
        <family val="2"/>
      </rPr>
      <t xml:space="preserve">  </t>
    </r>
  </si>
  <si>
    <t>Gerencia Técnica</t>
  </si>
  <si>
    <t>Investigación y Estudios FP</t>
  </si>
  <si>
    <t>Total Investigación y Desarrollo</t>
  </si>
  <si>
    <t>OPERACIÓN/FUNCIONAMIENTO</t>
  </si>
  <si>
    <t>Administración</t>
  </si>
  <si>
    <t>Total Operación/Funcionamiento</t>
  </si>
  <si>
    <t>SUPERAVIT PRESUPUESTARIO</t>
  </si>
  <si>
    <t>2012 Aprobado</t>
  </si>
  <si>
    <t>Presupuesto 2011 -2012</t>
  </si>
  <si>
    <t>Cierre Presupuesto 2012</t>
  </si>
  <si>
    <t>ENE/MAY</t>
  </si>
  <si>
    <t>MAY</t>
  </si>
  <si>
    <t>Refuerzo Presupuestario (*)</t>
  </si>
  <si>
    <t>(*) Incluye US$321,000.00 para compra de Terreno</t>
  </si>
  <si>
    <t>Opción 1 Presupuesto 2013</t>
  </si>
  <si>
    <t>total</t>
  </si>
  <si>
    <t>Opción 2 Presupuesto 2013</t>
  </si>
  <si>
    <t>Opción 3 Presupuesto 2013</t>
  </si>
  <si>
    <t>2011 Ejecutado</t>
  </si>
  <si>
    <t>Ejecutado y comprometido 15/Agosto/2012</t>
  </si>
  <si>
    <t>Sub Total</t>
  </si>
  <si>
    <t>TOTAL</t>
  </si>
  <si>
    <t>Formación  Inicial</t>
  </si>
  <si>
    <t>Distribución Porcentual de Capacitaciones incluyendo PATI</t>
  </si>
  <si>
    <t>Formación Inicial </t>
  </si>
  <si>
    <t>Remuneraciones </t>
  </si>
  <si>
    <t>Total</t>
  </si>
  <si>
    <t>San Bartolo</t>
  </si>
  <si>
    <t>Formación</t>
  </si>
  <si>
    <t>Remuneración</t>
  </si>
  <si>
    <t>Totales</t>
  </si>
  <si>
    <t>Con PATI</t>
  </si>
  <si>
    <t xml:space="preserve">  Formación Inic. Fondos Propios</t>
  </si>
  <si>
    <t xml:space="preserve">  Formación Inic. Fondos PATI</t>
  </si>
  <si>
    <t>Cierre Presupuesto 2012 (US$)</t>
  </si>
  <si>
    <t>Opción 1 Presupuesto 2013 (US%)</t>
  </si>
  <si>
    <t>Opción 2 Presupuesto 2013 (US$)</t>
  </si>
  <si>
    <t>Sin PATI</t>
  </si>
  <si>
    <t>Conceptos</t>
  </si>
  <si>
    <t>US $</t>
  </si>
  <si>
    <t>Fondo de Garantía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</si>
  <si>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</si>
  <si>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</si>
  <si>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</si>
  <si>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</si>
  <si>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</si>
  <si>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</si>
  <si>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</si>
  <si>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</si>
  <si>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</si>
  <si>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</si>
  <si>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</si>
  <si>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</si>
  <si>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Saldo Inicial</t>
  </si>
  <si>
    <t>Intereses</t>
  </si>
  <si>
    <t>Saldo Mes</t>
  </si>
  <si>
    <t>TOTALES</t>
  </si>
  <si>
    <t>Salidas (Gasto)</t>
  </si>
  <si>
    <t xml:space="preserve"> Presupuesto 2013</t>
  </si>
  <si>
    <t>CONCEPTO</t>
  </si>
  <si>
    <t>Superávit de Ingresos</t>
  </si>
  <si>
    <t>Presupuesto 2013 (US$)</t>
  </si>
  <si>
    <t>Ejecutado y comprometido 20/Agosto/2012</t>
  </si>
  <si>
    <t>Presupuesto 2012 -2013</t>
  </si>
  <si>
    <t>2012 Ejecutado</t>
  </si>
  <si>
    <t>2013 Aprobado</t>
  </si>
  <si>
    <t>Cierre Presupuesto 2013</t>
  </si>
  <si>
    <t>Presupuesto 2014</t>
  </si>
  <si>
    <t>Monitoreo y Evaluación FP</t>
  </si>
  <si>
    <t>Formación para Inserción Sec. Productivos</t>
  </si>
  <si>
    <t>Formación para Población Vulnerable</t>
  </si>
  <si>
    <t>Monto US$ (Miles)</t>
  </si>
  <si>
    <t>GFI</t>
  </si>
  <si>
    <t>GFC</t>
  </si>
  <si>
    <t>Otros</t>
  </si>
  <si>
    <t>GT</t>
  </si>
  <si>
    <t>UIEFP</t>
  </si>
  <si>
    <t xml:space="preserve">Administración </t>
  </si>
  <si>
    <t xml:space="preserve">GFI </t>
  </si>
  <si>
    <t>Ciudad Mujer</t>
  </si>
  <si>
    <t>Linea</t>
  </si>
  <si>
    <t>Cargo</t>
  </si>
  <si>
    <t>Plazas</t>
  </si>
  <si>
    <t>Unidad Organizativa</t>
  </si>
  <si>
    <t>Nombre</t>
  </si>
  <si>
    <t>Monto</t>
  </si>
  <si>
    <t>SUBDIRECTOR EJECUTIVO</t>
  </si>
  <si>
    <t>Direccion Ejec.</t>
  </si>
  <si>
    <t>CARLOS BENJAMIN OROZCO MORAN</t>
  </si>
  <si>
    <t>DIRECTOR EJECUTIVO</t>
  </si>
  <si>
    <t>CARLOS ENRIQUE GOMEZ BENITEZ</t>
  </si>
  <si>
    <t>ASISTENTE EJECUTIVA</t>
  </si>
  <si>
    <t>REINA CONCEPCION MURILLO DE CHAVARRIA</t>
  </si>
  <si>
    <t>Total Direccion Ejec.</t>
  </si>
  <si>
    <t>COORDINADOR DE AREA</t>
  </si>
  <si>
    <t>Planificación</t>
  </si>
  <si>
    <t>JOSE MARIO MARTINEZ QUINTANA</t>
  </si>
  <si>
    <t>Total Planificación</t>
  </si>
  <si>
    <t>PRESIDENCIA</t>
  </si>
  <si>
    <t>HILDA GLORIA GUARDADO HENRRIQUEZ</t>
  </si>
  <si>
    <t>Total PRESIDENCIA</t>
  </si>
  <si>
    <t>Gerencia Financiera</t>
  </si>
  <si>
    <t>CARLOS ALFREDO QUINTANILLA PEREZ</t>
  </si>
  <si>
    <t>TECNICO ADMINISTRATIVO III</t>
  </si>
  <si>
    <t>CESAR GEOVANNI PAZ RAMIREZ</t>
  </si>
  <si>
    <t>DANIEL ERNESTO DIAZ RIVAS</t>
  </si>
  <si>
    <t>ASISTENTE ADMINISTRATIVO I</t>
  </si>
  <si>
    <t>DELMY YUDITH MARTINEZ ARIAS</t>
  </si>
  <si>
    <t>GERENTE</t>
  </si>
  <si>
    <t>FREDY ANTONIO MAYORA CARRANZA</t>
  </si>
  <si>
    <t>TECNICO IV</t>
  </si>
  <si>
    <t>JUAN EDUARDO NAVARRO CARBALLO</t>
  </si>
  <si>
    <t>MILTON RAUL CIUDAD REAL COLORADO</t>
  </si>
  <si>
    <t>MORENA EMILIA ALVARENGA</t>
  </si>
  <si>
    <t>TECNICO ADMINISTRATIVO I</t>
  </si>
  <si>
    <t>RENE FRANCISCO HERNANDEZ BAUTISTA</t>
  </si>
  <si>
    <t>ROSA ELIZABETH CEA DE DELEON</t>
  </si>
  <si>
    <t>Total Gerencia Financiera</t>
  </si>
  <si>
    <t>Gerencia RRHH</t>
  </si>
  <si>
    <t>AMALIA BEATRIZ GUERRA MARTINEZ</t>
  </si>
  <si>
    <t>KARLINA RAQUEL CALDERON MARTINEZ</t>
  </si>
  <si>
    <t>TECNICO III</t>
  </si>
  <si>
    <t>MIGUEL ANGEL ZAMORA MORENO</t>
  </si>
  <si>
    <t>TECNICO OPERATIVO I</t>
  </si>
  <si>
    <t>OSCAR EMETERIO DIAZ CASTILLO</t>
  </si>
  <si>
    <t>Total Gerencia RRHH</t>
  </si>
  <si>
    <t>Serv. Generales</t>
  </si>
  <si>
    <t>ANA PATRICIA URRUTIA DE FLAMENCO</t>
  </si>
  <si>
    <t>MOTORISTA</t>
  </si>
  <si>
    <t>EDUARDO MERINO VASQUEZ</t>
  </si>
  <si>
    <t>COLABORADOR DE SERVICIOS</t>
  </si>
  <si>
    <t>JORGE ALEXANDER DOMINGUEZ CLAROS</t>
  </si>
  <si>
    <t>LORENA GUADALUPE GARAY DE ACOSTA</t>
  </si>
  <si>
    <t>MANUEL DE JESUS RODAS ROSALES</t>
  </si>
  <si>
    <t>MARIA DEL CARMEN RUANO MARROQUIN</t>
  </si>
  <si>
    <t>MARTA LILIAN VASQUEZ DE BARRAZA</t>
  </si>
  <si>
    <t>MIGUEL SANCHEZ HERNANDEZ</t>
  </si>
  <si>
    <t>OSCAR SAMUEL MANGANDI VARGAS</t>
  </si>
  <si>
    <t>PEDRO NAVARRETE ALVARADO</t>
  </si>
  <si>
    <t>ASISTENTE ADMINISTRATIVO III</t>
  </si>
  <si>
    <t>RAFAEL ANTONIO REYNOZA ROSALES</t>
  </si>
  <si>
    <t>RAFAEL CHAVEZ</t>
  </si>
  <si>
    <t>SANTOS WILFREDO FRANCO ANDRADE</t>
  </si>
  <si>
    <t>ASISTENTE ADMINISTRATIVO II</t>
  </si>
  <si>
    <t>TATIANA MARIZA PORTILLO RODRIGUEZ</t>
  </si>
  <si>
    <t>Total Serv. Generales</t>
  </si>
  <si>
    <t>ENC. DE MANTENIMIENTO I</t>
  </si>
  <si>
    <t>CF-San Bartolo</t>
  </si>
  <si>
    <t>GUADALUPE DANIEL RAMIREZ</t>
  </si>
  <si>
    <t>GUILLERMO ANTONIO RODRIGUEZ ROQUE</t>
  </si>
  <si>
    <t>JOSE MANUEL HERNANDEZ CASTRO</t>
  </si>
  <si>
    <t>JEFE DE UNIDAD</t>
  </si>
  <si>
    <t>JOSE NICOLAS ARTEAGA HIDALGO</t>
  </si>
  <si>
    <t>TECNICO ADMINISTRATIVO II</t>
  </si>
  <si>
    <t>MARIA DEL ROSARIO DIAZ VDA. DE BACA</t>
  </si>
  <si>
    <t>OSCAR NAPOLEON CATEDRAL MERINO</t>
  </si>
  <si>
    <t>RODOLFO ANTONIO PEÑA MARTINEZ</t>
  </si>
  <si>
    <t>Total CF-San Bartolo</t>
  </si>
  <si>
    <t>TECNICO V</t>
  </si>
  <si>
    <t>Gerencia de Form.Inic.</t>
  </si>
  <si>
    <t>ARMIDA CRISTINA PINEDA DE MATA</t>
  </si>
  <si>
    <t>ERNESTO TORRES SANTOS</t>
  </si>
  <si>
    <t>GONZALO ALBERTO AGUILUZ CHICAS</t>
  </si>
  <si>
    <t>TECNICO I</t>
  </si>
  <si>
    <t>GUILLERMO DANIEL AVELAR MEJIA</t>
  </si>
  <si>
    <t>KENNY MARGARITA BAÑOS CIENFUEGOS</t>
  </si>
  <si>
    <t>LISSETTE MARIA CLAROS PERLA</t>
  </si>
  <si>
    <t>MANUEL FRANCISCO BURGOS HASBUN</t>
  </si>
  <si>
    <t>MANUEL FRANCISCO RIVERA GOMEZ</t>
  </si>
  <si>
    <t>NILSA SIRIAN FONSECA MOLINA</t>
  </si>
  <si>
    <t>SALVADOR ORLANDO SANDOVAL BARAHONA</t>
  </si>
  <si>
    <t>VIRGINIA VICTORIA CASTELLANOS GONZALEZ</t>
  </si>
  <si>
    <t>YAMILETH SUYAPA MARROQUIN ORTEZ</t>
  </si>
  <si>
    <t>Total Gerencia de Form.Inic.</t>
  </si>
  <si>
    <t>Gerencia F.Continua</t>
  </si>
  <si>
    <t>ANA ELSY OCAMPO HERRERA</t>
  </si>
  <si>
    <t>ANA RITA ORTEGA DE CONTRERAS</t>
  </si>
  <si>
    <t>ANA VICTORIA GUTIERREZ ARIAS</t>
  </si>
  <si>
    <t>CARLOS GILBERTO CORTEZ ORELLANA</t>
  </si>
  <si>
    <t>CARLOS MIGUEL MORAN RAMOS</t>
  </si>
  <si>
    <t>DORIS ELIZABETH LEMUS VDA. DE DOMINGUEZ</t>
  </si>
  <si>
    <t>LUIS ARTURO GALDAMEZ</t>
  </si>
  <si>
    <t>MAURO ARTURO CARDOZA LOPEZ</t>
  </si>
  <si>
    <t>RICARDO A. ESCOBAR MELGAR</t>
  </si>
  <si>
    <t>Total Gerencia F.Continua</t>
  </si>
  <si>
    <t>Gerencia Legal</t>
  </si>
  <si>
    <t>CELIA BEATRIZ VALDEZ MESA</t>
  </si>
  <si>
    <t>EVELIN JANETTE ARGUETA GOMEZ</t>
  </si>
  <si>
    <t>LILA MARGARITA ROSA DE LEMUS</t>
  </si>
  <si>
    <t>RUBEN ALONSO AVALOS</t>
  </si>
  <si>
    <t>Total Gerencia Legal</t>
  </si>
  <si>
    <t>Gerencia Tecnica</t>
  </si>
  <si>
    <t>ANA MARIA ORELLANA DE CORTEZ</t>
  </si>
  <si>
    <t>JESUS STANLEY PALACIOS PACAS</t>
  </si>
  <si>
    <t>JUAN CARLOS MIRANDA</t>
  </si>
  <si>
    <t>KARLA MARIA ESCALANTE CORTEZ DE MORA</t>
  </si>
  <si>
    <t>OSCAR EDUARDO MIXCO SALAZAR</t>
  </si>
  <si>
    <t>PATRICIA DEL CARMEN VASQUEZ DE SEVILLANO</t>
  </si>
  <si>
    <t>RUTH MARGARITA HERNANDEZ GARCIA</t>
  </si>
  <si>
    <t>Total Gerencia Tecnica</t>
  </si>
  <si>
    <t>GTI</t>
  </si>
  <si>
    <t>ELMER MAURICIO CARIAS CONTRERAS</t>
  </si>
  <si>
    <t>Total GTI</t>
  </si>
  <si>
    <t>OFICIAL DE INFORMACION</t>
  </si>
  <si>
    <t>Oficina de Información</t>
  </si>
  <si>
    <t>MORENA GUADALUPE GARCIA DE GOMEZ</t>
  </si>
  <si>
    <t>Total Oficina de Información</t>
  </si>
  <si>
    <t>UACI</t>
  </si>
  <si>
    <t>ANNABELLA JOSSETTE ZEPEDA HENRIQUEZ</t>
  </si>
  <si>
    <t>EDWIN ANTONIO DURAN</t>
  </si>
  <si>
    <t>EVELYN ROSARIO GUEVARA ACOSTA</t>
  </si>
  <si>
    <t>GLORIA MARISEL ARDON DE GARCIA</t>
  </si>
  <si>
    <t>JUAN CARLOS ESCOBAR PORTILLO</t>
  </si>
  <si>
    <t>KAREN ELISA BERMUDEZ DE MARTINEZ</t>
  </si>
  <si>
    <t>MAYTHE CRISTINA TORRES DE RUIZ</t>
  </si>
  <si>
    <t>MIGUEL ANGEL AMADOR FLORES</t>
  </si>
  <si>
    <t>OSCAR ROLANDO DURAN SALEGIO</t>
  </si>
  <si>
    <t>PEDRO WINCIO GOMEZ VENTURA</t>
  </si>
  <si>
    <t>RODRIGO ALONSO HERNANDEZ SERRANO</t>
  </si>
  <si>
    <t>ROSA HAYDEE CALDERON DE ZUNIGA</t>
  </si>
  <si>
    <t>Total UACI</t>
  </si>
  <si>
    <t>IRENE MARGARITA TORRES MARTINEZ</t>
  </si>
  <si>
    <t>JENNY MARECELA SALINAS GOMEZ</t>
  </si>
  <si>
    <t>OMAYRA MADAI ALVARADO VASQUEZ</t>
  </si>
  <si>
    <t>REBECA GUZMAN MENDOZA</t>
  </si>
  <si>
    <t>SARA VERONICA DURAN DE BARAHONA</t>
  </si>
  <si>
    <t>Total Ciudad Mujer</t>
  </si>
  <si>
    <t>UNIDAD INVESTIGACION</t>
  </si>
  <si>
    <t>JOSE LUIS QUINTANILLA</t>
  </si>
  <si>
    <t>JOSE ROBERTO PONCE ARRIAZA</t>
  </si>
  <si>
    <t>LORENA ICELA RIVAS DE PEREZ</t>
  </si>
  <si>
    <t>MARIA ETHEL HERNANDEZ DE AVALOS</t>
  </si>
  <si>
    <t>MARIA INES ROQUE DE DOMINGUEZ</t>
  </si>
  <si>
    <t>PATRICIA YOLANDA BARAHONA RIVERA</t>
  </si>
  <si>
    <t>Total UNIDAD INVESTIGACION</t>
  </si>
  <si>
    <t>CDI</t>
  </si>
  <si>
    <t>ANA LUCIA VALENCIA DE ZAVALETA</t>
  </si>
  <si>
    <t>MARIA ELENA BATRES ARTEAGA</t>
  </si>
  <si>
    <t>Total CDI</t>
  </si>
  <si>
    <t>Comunicaciones</t>
  </si>
  <si>
    <t>ANA CAROLINA SOLIS ESCOBAR</t>
  </si>
  <si>
    <t>DORIS YAMILETH LOPEZ MARIN DE MORAN</t>
  </si>
  <si>
    <t>GLADYS ELIZABETH LEMUS DE ESPINOZA</t>
  </si>
  <si>
    <t>MARIO FRANCISCO RODRIGUEZ SARAVIA</t>
  </si>
  <si>
    <t>SERGIO RAUL TRUJILLO HERNANDEZ</t>
  </si>
  <si>
    <t>Total Comunicaciones</t>
  </si>
  <si>
    <t>CECYL MARTINY ARRIOLA DE HERNANDEZ</t>
  </si>
  <si>
    <t>CHRISTIAM EDUARDO RAMOS RAMIREZ</t>
  </si>
  <si>
    <t>TECNICO II</t>
  </si>
  <si>
    <t>JOSE ERNESTO HERNANDEZ RENDEROS</t>
  </si>
  <si>
    <t>LUIS ERNESTO NAVAS AGUILAR</t>
  </si>
  <si>
    <t>NURY MERCEDES MARTINEZ SILVA</t>
  </si>
  <si>
    <t>RICHARD CHRISTOPHER PALACIOS HENRIQUEZ</t>
  </si>
  <si>
    <t>Auditoria</t>
  </si>
  <si>
    <t>CARLOS ERNESTO CHAVEZ HERNANDEZ</t>
  </si>
  <si>
    <t>CELIA MARIA SALINAS</t>
  </si>
  <si>
    <t>CESAR AUGUSTO PEÑA MENJIVAR</t>
  </si>
  <si>
    <t>GLENDA DAMNE VILLALTA PONCE</t>
  </si>
  <si>
    <t>JOSE ANGEL DE JESUS FLAMENCO ALFARO</t>
  </si>
  <si>
    <t>JULIO CESAR MENJIVAR MORALES</t>
  </si>
  <si>
    <t>RAFAEL ERNESTO VALIENTE JUAREZ</t>
  </si>
  <si>
    <t>RAFAEL VASQUEZ GUARDADO</t>
  </si>
  <si>
    <t>WILLIAMS ALCIDES PEÑA PORTILLO</t>
  </si>
  <si>
    <t>Total Auditoria</t>
  </si>
  <si>
    <t>Total general</t>
  </si>
  <si>
    <t>Capacitación</t>
  </si>
  <si>
    <t>Idemnización</t>
  </si>
  <si>
    <t>F. p/ la Inserción de los Sec. Prod</t>
  </si>
  <si>
    <t>Concepto</t>
  </si>
  <si>
    <t>F. p/ la Población Vulnerable</t>
  </si>
  <si>
    <t>Rem</t>
  </si>
  <si>
    <t>Inversión y Gastos de Fun. San Bartolo  =</t>
  </si>
  <si>
    <t>GMEFP</t>
  </si>
  <si>
    <t>Total Presupuesto</t>
  </si>
  <si>
    <t>2013(Presupuesto)</t>
  </si>
  <si>
    <t>FORMACION PARA LOS SECTORES PRODUCTIVOS</t>
  </si>
  <si>
    <t>FORMACIÓN PARA LOS SECTORES EN COND.VULNERABILIDAD</t>
  </si>
  <si>
    <t>PROGRAMA CIUDAD MUJER</t>
  </si>
  <si>
    <t>Reserva Laboral</t>
  </si>
  <si>
    <t>.</t>
  </si>
  <si>
    <t>Reintegro Costos Incrementales Fondos PATI AID 7ma. C.</t>
  </si>
  <si>
    <t>Estimación Reintegro Costos Incrementales Fondos PATI III</t>
  </si>
  <si>
    <t>Reintegro Costos Incrementales  Fondos PATI BM 6ta Convocatoria</t>
  </si>
  <si>
    <t>Reintegro Costos Incrementales  Fondos PATI BM 4ta  Convocatoria</t>
  </si>
  <si>
    <t xml:space="preserve"> Reintegro Costos Incrementales Fondos PATI BM 5ta. . C.</t>
  </si>
  <si>
    <t>(*) Incluye Reintegro PATI por US$387,015</t>
  </si>
  <si>
    <t>Etiquetas de fila</t>
  </si>
  <si>
    <t>Suma de Monto</t>
  </si>
  <si>
    <t>AI</t>
  </si>
  <si>
    <t>CD</t>
  </si>
  <si>
    <t>CFPSB</t>
  </si>
  <si>
    <t>CM Colon</t>
  </si>
  <si>
    <t>CM Morazán</t>
  </si>
  <si>
    <t>CM San Martín</t>
  </si>
  <si>
    <t>CM San Miguel</t>
  </si>
  <si>
    <t>CM Santa Ana</t>
  </si>
  <si>
    <t>CM Usulutan</t>
  </si>
  <si>
    <t>DE</t>
  </si>
  <si>
    <t>GCI</t>
  </si>
  <si>
    <t>Gcia.Legal</t>
  </si>
  <si>
    <t>RRHH</t>
  </si>
  <si>
    <t>SERV.GRALES</t>
  </si>
  <si>
    <t>UFI</t>
  </si>
  <si>
    <t>UMEFP</t>
  </si>
  <si>
    <t>UPE</t>
  </si>
  <si>
    <t>UTI</t>
  </si>
  <si>
    <t>GIEFP</t>
  </si>
  <si>
    <t>Proyectos Fortalecimiento de la Formación Profesional</t>
  </si>
  <si>
    <t xml:space="preserve">Ingresos x Contribuciones, Productos Financieros y otros </t>
  </si>
  <si>
    <t>Unidad</t>
  </si>
  <si>
    <t>2015 Aprobado</t>
  </si>
  <si>
    <t>Presupuesto 2016</t>
  </si>
  <si>
    <t>Cierre Presupuesto 2015</t>
  </si>
  <si>
    <t>Formacion Continua</t>
  </si>
  <si>
    <t>FORMACIÓN PROFESIONAL</t>
  </si>
  <si>
    <t>Programa Ciudad Mujer</t>
  </si>
  <si>
    <t>CIERRE 2015</t>
  </si>
  <si>
    <t>Contribuciones</t>
  </si>
  <si>
    <t>Presupuesto 2015</t>
  </si>
  <si>
    <t>Formación Profesional</t>
  </si>
  <si>
    <t>Presupuesto</t>
  </si>
  <si>
    <t>Ejecutado</t>
  </si>
  <si>
    <t>Proyección de Cierre</t>
  </si>
  <si>
    <t>Presupuesto Totales Incremento %</t>
  </si>
  <si>
    <t>Aprobado (*)</t>
  </si>
  <si>
    <t>ORIGINAL</t>
  </si>
  <si>
    <t>Ejecución</t>
  </si>
  <si>
    <t>Refuerzo Presupuestario</t>
  </si>
  <si>
    <t>Refuerzo presupuestario</t>
  </si>
  <si>
    <t>Total Formaciòn Profesional</t>
  </si>
  <si>
    <t>INVESTIGACION Y DESARROLLO  </t>
  </si>
  <si>
    <t xml:space="preserve">INVESTIGACION Y DESARROLLO </t>
  </si>
  <si>
    <t>Unidad de Investigaciones y Estudios</t>
  </si>
  <si>
    <t>Total Investigaciòn y Desarrollo</t>
  </si>
  <si>
    <t>Proyectos Fortalecimiento de la F.P.</t>
  </si>
  <si>
    <t>Nota: . Presupuesto 2014 = US$ 35,103,875 mas refuerzo presupuestario US$ 500,869.00,  total presupuesto US$ 35,604,744 pero  para efectos de proyección sólo se consideran US$105,500 para indemnizaciones de US$1,514, 000. Presupuesto 2013 = US$32,887,500</t>
  </si>
  <si>
    <t>presupuestos en miles</t>
  </si>
  <si>
    <t>Presupuesto 2017</t>
  </si>
  <si>
    <t xml:space="preserve">Proyección de Cierre Ad </t>
  </si>
  <si>
    <t>Proyección de Cierre FP</t>
  </si>
  <si>
    <t>Ejecutado Ad</t>
  </si>
  <si>
    <t>Ejecutado FP</t>
  </si>
  <si>
    <t>Presupuesto Ad</t>
  </si>
  <si>
    <t>Presupuesto FP</t>
  </si>
  <si>
    <t>Año</t>
  </si>
  <si>
    <t>Proyección de Cierre Ad</t>
  </si>
  <si>
    <t>Proyección Cierre</t>
  </si>
  <si>
    <t>INSTITUTO SALVADOREÑO DE FORMACIÓN PROFESIONAL</t>
  </si>
  <si>
    <t>Presupuestos Proyectados Años 2015_2019</t>
  </si>
  <si>
    <t>Concepto/ Año</t>
  </si>
  <si>
    <t>Total Período</t>
  </si>
  <si>
    <t>Cotización Privada</t>
  </si>
  <si>
    <t>Cotización Pública</t>
  </si>
  <si>
    <t>Ing Financieros</t>
  </si>
  <si>
    <t>Total Ingresos</t>
  </si>
  <si>
    <t>Empresa Centro</t>
  </si>
  <si>
    <t>Sub Total Formación</t>
  </si>
  <si>
    <t>Investigación y Desarrollo</t>
  </si>
  <si>
    <t>Investigación y Estudios</t>
  </si>
  <si>
    <t>Sub Total Invest. Y Des.</t>
  </si>
  <si>
    <t>Operación/Funcionamiento</t>
  </si>
  <si>
    <t>Inversiones</t>
  </si>
  <si>
    <t>Total Egresos Período</t>
  </si>
  <si>
    <t>Resultado de Período</t>
  </si>
  <si>
    <t>Saldo Anterior</t>
  </si>
  <si>
    <t>Exedente/Déficit Período</t>
  </si>
  <si>
    <t>Financiamiento de Terceros</t>
  </si>
  <si>
    <t>Programas Especiales</t>
  </si>
  <si>
    <t>Porcentaje Administración</t>
  </si>
  <si>
    <t>Porcentaje Continua/Inicial</t>
  </si>
  <si>
    <t>POLIADMON</t>
  </si>
  <si>
    <t>CRECTEC</t>
  </si>
  <si>
    <t>CRECESTUDIO</t>
  </si>
  <si>
    <t>CRECMONI</t>
  </si>
  <si>
    <t>AJUSTEFI</t>
  </si>
  <si>
    <t>Plan Estratégico FP</t>
  </si>
  <si>
    <t>Plan Estratégico Ad</t>
  </si>
  <si>
    <t>Centros de Formación</t>
  </si>
  <si>
    <t>Proveedores</t>
  </si>
  <si>
    <t xml:space="preserve">Unidad Organizativa </t>
  </si>
  <si>
    <t>Descripción</t>
  </si>
  <si>
    <t>Formación Continua Centros</t>
  </si>
  <si>
    <t>Formación Inicial Centros</t>
  </si>
  <si>
    <t>UFAD</t>
  </si>
  <si>
    <t>Recursos disponibles período 2017</t>
  </si>
  <si>
    <t>CA</t>
  </si>
  <si>
    <t>En este cuadro solamente cambiar la tasa de interés promedio</t>
  </si>
  <si>
    <t>GASTOS</t>
  </si>
  <si>
    <t>SUPERÁVIT/DÉFICIT</t>
  </si>
  <si>
    <t xml:space="preserve">  Presupuesto FP</t>
  </si>
  <si>
    <t xml:space="preserve">  Proyección de Cierre FP</t>
  </si>
  <si>
    <t xml:space="preserve">   Ejecutado FP</t>
  </si>
  <si>
    <t>Total Proyección</t>
  </si>
  <si>
    <t>Salarios 2020</t>
  </si>
  <si>
    <t>UO</t>
  </si>
  <si>
    <t>Salarios de cierre</t>
  </si>
  <si>
    <t>Concepto/Proyección</t>
  </si>
  <si>
    <t>Total Presupuestos de Gastos</t>
  </si>
  <si>
    <t>Total Presupuestos de Ingresos</t>
  </si>
  <si>
    <t>Nuevo Saldo</t>
  </si>
  <si>
    <t>Administración como % Ingresos</t>
  </si>
  <si>
    <t>Administración como % Gastos</t>
  </si>
  <si>
    <t>Incremento Anual</t>
  </si>
  <si>
    <t>Ingresos</t>
  </si>
  <si>
    <t>Gastos Formación</t>
  </si>
  <si>
    <t>Gastos Innovación</t>
  </si>
  <si>
    <t>Gastos Administración</t>
  </si>
  <si>
    <t>(*) Proyección al 31 de diciembre de 2019</t>
  </si>
  <si>
    <t>Capacitación Actores</t>
  </si>
  <si>
    <t>Duje</t>
  </si>
  <si>
    <t>oit</t>
  </si>
  <si>
    <t>Unidad de Formación a Distancia</t>
  </si>
  <si>
    <t>Disponibilidades</t>
  </si>
  <si>
    <t>Certificados</t>
  </si>
  <si>
    <t>Proyectos de Fortalecimiento de la FP</t>
  </si>
  <si>
    <t>Proyectos</t>
  </si>
  <si>
    <t>SG</t>
  </si>
  <si>
    <t>Idemnizaciones</t>
  </si>
  <si>
    <t>Control</t>
  </si>
  <si>
    <t>Pto 2020 Bienes y S.</t>
  </si>
  <si>
    <t>Total Pto 2020</t>
  </si>
  <si>
    <t>% Ejec.</t>
  </si>
  <si>
    <t>Proyección de Participaciones</t>
  </si>
  <si>
    <t>Participaciones</t>
  </si>
  <si>
    <t>Cierre Presupuesto 2021</t>
  </si>
  <si>
    <t>Presupuesto 2022</t>
  </si>
  <si>
    <t>CIERRE 2021</t>
  </si>
  <si>
    <t>% DEL Total</t>
  </si>
  <si>
    <t>% de los Ingresos</t>
  </si>
  <si>
    <t>Cierre Presupuesto 2022</t>
  </si>
  <si>
    <t>Salarios 2022</t>
  </si>
  <si>
    <t>CIERRE 2022</t>
  </si>
  <si>
    <t>Pto 2022 Bienes y S.</t>
  </si>
  <si>
    <t>Total Pto 2022</t>
  </si>
  <si>
    <t>UGDA</t>
  </si>
  <si>
    <t>Presupuesto 2023</t>
  </si>
  <si>
    <t>Ingresos 2023</t>
  </si>
  <si>
    <t>TASA PROMEDIO 2022 =</t>
  </si>
  <si>
    <t>Cálculo de Intereses 2023</t>
  </si>
  <si>
    <t>Saldo Inicial  de Recursos Propios al 1 de enero de 2022</t>
  </si>
  <si>
    <t>Balance 31 dic 2021</t>
  </si>
  <si>
    <t>(-) Provisión Pagada</t>
  </si>
  <si>
    <t>Recursos disponibles período 2022</t>
  </si>
  <si>
    <t>Presupuesto Ejecutado 2022 (Proyección de Cierre)</t>
  </si>
  <si>
    <t>Recursos disponibles al 31 de diciembre de 2022</t>
  </si>
  <si>
    <t>Recursos disponibles para Ejecución 2023 - 2026</t>
  </si>
  <si>
    <t>FONDO DE GARANTIA</t>
  </si>
  <si>
    <t>Proyeccción 2023</t>
  </si>
  <si>
    <t>Recursos Estimados al 31 de diciembre de 2023</t>
  </si>
  <si>
    <t>(-) Refuerzo Presupuestario 2022 (no incluye reserva laboral)</t>
  </si>
  <si>
    <t>Inflación o Tasa rent.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</si>
</sst>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_);[Red]\(&quot;$&quot;#,##0.00\)"/>
    <numFmt numFmtId="165" formatCode="_(* #,##0.00_);_(* \(#,##0.00\);_(* &quot;-&quot;??_);_(@_)"/>
    <numFmt numFmtId="166" formatCode="_(* #,##0_);_(* \(#,##0\);_(* &quot;-&quot;??_);_(@_)"/>
    <numFmt numFmtId="167" formatCode="#,##0.000"/>
    <numFmt numFmtId="168" formatCode="0.0%"/>
    <numFmt numFmtId="169" formatCode="_(* #,##0.0_);_(* \(#,##0.0\);_(* &quot;-&quot;??_);_(@_)"/>
    <numFmt numFmtId="170" formatCode="#,##0.0"/>
    <numFmt numFmtId="171" formatCode="_(* #,##0.0_);_(* \(#,##0.0\);_(* &quot;-&quot;?_);_(@_)"/>
    <numFmt numFmtId="172" formatCode="0.0"/>
    <numFmt numFmtId="173" formatCode="_(&quot;$&quot;* #,##0_);_(&quot;$&quot;* \(#,##0\);_(&quot;$&quot;* &quot;-&quot;??_);_(@_)"/>
    <numFmt numFmtId="174" formatCode="0.000"/>
    <numFmt numFmtId="175" formatCode="_-* #,##0.0_-;\-* #,##0.0_-;_-* &quot;-&quot;?_-;_-@_-"/>
    <numFmt numFmtId="176" formatCode="_-&quot;$&quot;* #,##0.0_-;\-&quot;$&quot;* #,##0.0_-;_-&quot;$&quot;* &quot;-&quot;??_-;_-@_-"/>
    <numFmt numFmtId="177" formatCode="_-&quot;$&quot;* #,##0_-;\-&quot;$&quot;* #,##0_-;_-&quot;$&quot;* &quot;-&quot;??_-;_-@_-"/>
  </numFmts>
  <fonts count="61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2"/>
      <name val="Arial"/>
      <family val="2"/>
    </font>
    <font>
      <b/>
      <sz val="13"/>
      <color indexed="8"/>
      <name val="Arial"/>
      <family val="2"/>
    </font>
    <font>
      <b/>
      <sz val="13"/>
      <name val="Arial"/>
      <family val="2"/>
    </font>
    <font>
      <b/>
      <sz val="10"/>
      <color indexed="12"/>
      <name val="Arial"/>
      <family val="2"/>
    </font>
    <font>
      <b/>
      <sz val="13"/>
      <color indexed="12"/>
      <name val="Arial"/>
      <family val="2"/>
    </font>
    <font>
      <b/>
      <sz val="11"/>
      <color indexed="12"/>
      <name val="Arial"/>
      <family val="2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4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rgb="FF222222"/>
      <name val="Arial"/>
      <family val="2"/>
    </font>
    <font>
      <b/>
      <sz val="11"/>
      <color indexed="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3"/>
      <color theme="1"/>
      <name val="Arial"/>
      <family val="2"/>
    </font>
    <font>
      <b/>
      <sz val="11"/>
      <color rgb="FF006100"/>
      <name val="Calibri"/>
      <family val="2"/>
      <scheme val="minor"/>
    </font>
    <font>
      <sz val="11"/>
      <color indexed="8"/>
      <name val="Calibri"/>
      <family val="2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color indexed="8"/>
      <name val="Arial"/>
      <family val="2"/>
    </font>
    <font>
      <sz val="18"/>
      <name val="Arial"/>
      <family val="2"/>
    </font>
    <font>
      <b/>
      <sz val="11"/>
      <color rgb="FF000000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8"/>
      <color rgb="FF000000"/>
      <name val="Arial"/>
      <family val="2"/>
    </font>
    <font>
      <sz val="12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b/>
      <sz val="8"/>
      <name val="Arial"/>
      <family val="2"/>
    </font>
    <font>
      <b/>
      <shadow/>
      <sz val="20"/>
      <color rgb="FFFFFFFF"/>
      <name val="Calibri"/>
      <family val="2"/>
    </font>
    <font>
      <b/>
      <shadow/>
      <sz val="18"/>
      <color rgb="FFFFFFFF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6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hadow/>
      <sz val="16"/>
      <color rgb="FFFFFFFF"/>
      <name val="Calibri"/>
      <family val="2"/>
    </font>
    <font>
      <b/>
      <shadow/>
      <sz val="14"/>
      <color rgb="FFFFFFFF"/>
      <name val="Calibri"/>
      <family val="2"/>
    </font>
    <font>
      <b/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/>
      </patternFill>
    </fill>
    <fill>
      <patternFill patternType="solid">
        <fgColor rgb="FFCCEC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9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20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35" applyNumberFormat="0" applyFill="0" applyAlignment="0" applyProtection="0"/>
    <xf numFmtId="0" fontId="27" fillId="0" borderId="36" applyNumberFormat="0" applyFill="0" applyAlignment="0" applyProtection="0"/>
    <xf numFmtId="0" fontId="29" fillId="14" borderId="0" applyNumberFormat="0" applyBorder="0" applyAlignment="0" applyProtection="0"/>
    <xf numFmtId="0" fontId="24" fillId="0" borderId="37" applyNumberFormat="0" applyFill="0" applyAlignment="0" applyProtection="0"/>
    <xf numFmtId="0" fontId="20" fillId="15" borderId="0" applyNumberFormat="0" applyBorder="0" applyAlignment="0" applyProtection="0"/>
    <xf numFmtId="0" fontId="11" fillId="16" borderId="0" applyNumberFormat="0" applyBorder="0" applyAlignment="0" applyProtection="0"/>
    <xf numFmtId="0" fontId="31" fillId="0" borderId="0"/>
    <xf numFmtId="165" fontId="31" fillId="0" borderId="0" applyFont="0" applyFill="0" applyBorder="0" applyAlignment="0" applyProtection="0"/>
    <xf numFmtId="9" fontId="35" fillId="0" borderId="0" applyFont="0" applyFill="0" applyBorder="0" applyAlignment="0" applyProtection="0"/>
    <xf numFmtId="165" fontId="3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3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553">
    <xf numFmtId="0" fontId="0" fillId="0" borderId="0" xfId="0"/>
    <xf numFmtId="0" fontId="1" fillId="0" borderId="1" xfId="0" applyFont="1" applyBorder="1" applyAlignment="1"/>
    <xf numFmtId="0" fontId="0" fillId="0" borderId="1" xfId="0" applyBorder="1" applyAlignment="1"/>
    <xf numFmtId="9" fontId="4" fillId="0" borderId="1" xfId="0" applyNumberFormat="1" applyFont="1" applyBorder="1" applyAlignment="1">
      <alignment horizontal="right"/>
    </xf>
    <xf numFmtId="3" fontId="3" fillId="3" borderId="1" xfId="0" applyNumberFormat="1" applyFont="1" applyFill="1" applyBorder="1" applyAlignment="1">
      <alignment horizontal="right"/>
    </xf>
    <xf numFmtId="9" fontId="4" fillId="3" borderId="1" xfId="0" applyNumberFormat="1" applyFont="1" applyFill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9" fontId="4" fillId="2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/>
    <xf numFmtId="3" fontId="4" fillId="4" borderId="1" xfId="0" applyNumberFormat="1" applyFont="1" applyFill="1" applyBorder="1" applyAlignment="1">
      <alignment horizontal="right"/>
    </xf>
    <xf numFmtId="9" fontId="4" fillId="4" borderId="1" xfId="0" applyNumberFormat="1" applyFont="1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1" fillId="5" borderId="1" xfId="0" applyFont="1" applyFill="1" applyBorder="1" applyAlignment="1"/>
    <xf numFmtId="3" fontId="4" fillId="5" borderId="1" xfId="0" applyNumberFormat="1" applyFont="1" applyFill="1" applyBorder="1" applyAlignment="1">
      <alignment horizontal="right"/>
    </xf>
    <xf numFmtId="9" fontId="4" fillId="5" borderId="1" xfId="0" applyNumberFormat="1" applyFont="1" applyFill="1" applyBorder="1" applyAlignment="1">
      <alignment horizontal="right"/>
    </xf>
    <xf numFmtId="0" fontId="0" fillId="5" borderId="1" xfId="0" applyFill="1" applyBorder="1" applyAlignment="1"/>
    <xf numFmtId="0" fontId="4" fillId="5" borderId="1" xfId="0" applyFont="1" applyFill="1" applyBorder="1" applyAlignment="1">
      <alignment horizontal="right"/>
    </xf>
    <xf numFmtId="3" fontId="0" fillId="2" borderId="1" xfId="0" applyNumberFormat="1" applyFill="1" applyBorder="1" applyAlignment="1"/>
    <xf numFmtId="0" fontId="0" fillId="2" borderId="1" xfId="0" applyFill="1" applyBorder="1" applyAlignment="1"/>
    <xf numFmtId="3" fontId="0" fillId="0" borderId="0" xfId="0" applyNumberFormat="1"/>
    <xf numFmtId="3" fontId="0" fillId="0" borderId="1" xfId="0" applyNumberFormat="1" applyBorder="1" applyAlignment="1"/>
    <xf numFmtId="3" fontId="4" fillId="0" borderId="1" xfId="0" applyNumberFormat="1" applyFont="1" applyBorder="1" applyAlignment="1">
      <alignment horizontal="right"/>
    </xf>
    <xf numFmtId="0" fontId="8" fillId="0" borderId="1" xfId="0" applyFont="1" applyBorder="1" applyAlignment="1"/>
    <xf numFmtId="0" fontId="4" fillId="0" borderId="1" xfId="0" applyFont="1" applyBorder="1" applyAlignment="1">
      <alignment horizontal="right"/>
    </xf>
    <xf numFmtId="0" fontId="4" fillId="4" borderId="1" xfId="0" applyFont="1" applyFill="1" applyBorder="1" applyAlignment="1">
      <alignment horizontal="right"/>
    </xf>
    <xf numFmtId="0" fontId="9" fillId="2" borderId="1" xfId="0" applyFont="1" applyFill="1" applyBorder="1" applyAlignment="1"/>
    <xf numFmtId="3" fontId="10" fillId="2" borderId="1" xfId="0" applyNumberFormat="1" applyFont="1" applyFill="1" applyBorder="1" applyAlignment="1">
      <alignment horizontal="right"/>
    </xf>
    <xf numFmtId="9" fontId="12" fillId="5" borderId="1" xfId="1" applyFont="1" applyFill="1" applyBorder="1" applyAlignment="1"/>
    <xf numFmtId="0" fontId="1" fillId="6" borderId="1" xfId="0" applyFont="1" applyFill="1" applyBorder="1" applyAlignment="1"/>
    <xf numFmtId="3" fontId="4" fillId="6" borderId="1" xfId="0" applyNumberFormat="1" applyFont="1" applyFill="1" applyBorder="1" applyAlignment="1">
      <alignment horizontal="right"/>
    </xf>
    <xf numFmtId="9" fontId="4" fillId="6" borderId="1" xfId="0" applyNumberFormat="1" applyFont="1" applyFill="1" applyBorder="1" applyAlignment="1">
      <alignment horizontal="right"/>
    </xf>
    <xf numFmtId="0" fontId="5" fillId="6" borderId="1" xfId="0" applyFont="1" applyFill="1" applyBorder="1" applyAlignment="1"/>
    <xf numFmtId="3" fontId="6" fillId="6" borderId="1" xfId="0" applyNumberFormat="1" applyFont="1" applyFill="1" applyBorder="1" applyAlignment="1">
      <alignment horizontal="right"/>
    </xf>
    <xf numFmtId="9" fontId="6" fillId="6" borderId="1" xfId="0" applyNumberFormat="1" applyFont="1" applyFill="1" applyBorder="1" applyAlignment="1">
      <alignment horizontal="right"/>
    </xf>
    <xf numFmtId="0" fontId="7" fillId="6" borderId="1" xfId="0" applyFont="1" applyFill="1" applyBorder="1" applyAlignment="1"/>
    <xf numFmtId="9" fontId="0" fillId="0" borderId="0" xfId="1" applyFont="1"/>
    <xf numFmtId="1" fontId="3" fillId="3" borderId="1" xfId="0" applyNumberFormat="1" applyFont="1" applyFill="1" applyBorder="1" applyAlignment="1">
      <alignment horizontal="right"/>
    </xf>
    <xf numFmtId="165" fontId="0" fillId="0" borderId="0" xfId="2" applyFont="1"/>
    <xf numFmtId="165" fontId="0" fillId="0" borderId="0" xfId="0" applyNumberFormat="1"/>
    <xf numFmtId="166" fontId="0" fillId="0" borderId="0" xfId="2" applyNumberFormat="1" applyFont="1"/>
    <xf numFmtId="3" fontId="3" fillId="3" borderId="1" xfId="2" applyNumberFormat="1" applyFont="1" applyFill="1" applyBorder="1" applyAlignment="1">
      <alignment horizontal="right"/>
    </xf>
    <xf numFmtId="3" fontId="4" fillId="5" borderId="1" xfId="2" applyNumberFormat="1" applyFont="1" applyFill="1" applyBorder="1" applyAlignment="1">
      <alignment horizontal="right"/>
    </xf>
    <xf numFmtId="166" fontId="4" fillId="6" borderId="5" xfId="2" applyNumberFormat="1" applyFont="1" applyFill="1" applyBorder="1" applyAlignment="1">
      <alignment horizontal="right"/>
    </xf>
    <xf numFmtId="166" fontId="6" fillId="6" borderId="5" xfId="2" applyNumberFormat="1" applyFont="1" applyFill="1" applyBorder="1" applyAlignment="1">
      <alignment horizontal="right"/>
    </xf>
    <xf numFmtId="3" fontId="0" fillId="0" borderId="1" xfId="2" applyNumberFormat="1" applyFont="1" applyBorder="1"/>
    <xf numFmtId="166" fontId="3" fillId="3" borderId="5" xfId="2" applyNumberFormat="1" applyFont="1" applyFill="1" applyBorder="1" applyAlignment="1">
      <alignment horizontal="right"/>
    </xf>
    <xf numFmtId="166" fontId="4" fillId="5" borderId="5" xfId="2" applyNumberFormat="1" applyFont="1" applyFill="1" applyBorder="1" applyAlignment="1">
      <alignment horizontal="right"/>
    </xf>
    <xf numFmtId="166" fontId="0" fillId="2" borderId="5" xfId="0" applyNumberFormat="1" applyFill="1" applyBorder="1" applyAlignment="1"/>
    <xf numFmtId="166" fontId="6" fillId="6" borderId="5" xfId="0" applyNumberFormat="1" applyFont="1" applyFill="1" applyBorder="1" applyAlignment="1">
      <alignment horizontal="right"/>
    </xf>
    <xf numFmtId="166" fontId="4" fillId="2" borderId="5" xfId="0" applyNumberFormat="1" applyFont="1" applyFill="1" applyBorder="1" applyAlignment="1">
      <alignment horizontal="right"/>
    </xf>
    <xf numFmtId="166" fontId="0" fillId="0" borderId="5" xfId="0" applyNumberFormat="1" applyBorder="1" applyAlignment="1"/>
    <xf numFmtId="166" fontId="3" fillId="2" borderId="5" xfId="0" applyNumberFormat="1" applyFont="1" applyFill="1" applyBorder="1" applyAlignment="1">
      <alignment horizontal="right"/>
    </xf>
    <xf numFmtId="9" fontId="3" fillId="3" borderId="5" xfId="1" applyFont="1" applyFill="1" applyBorder="1" applyAlignment="1">
      <alignment horizontal="right"/>
    </xf>
    <xf numFmtId="9" fontId="4" fillId="5" borderId="5" xfId="1" applyFont="1" applyFill="1" applyBorder="1" applyAlignment="1">
      <alignment horizontal="right"/>
    </xf>
    <xf numFmtId="9" fontId="0" fillId="2" borderId="5" xfId="1" applyFont="1" applyFill="1" applyBorder="1" applyAlignment="1"/>
    <xf numFmtId="9" fontId="0" fillId="0" borderId="5" xfId="1" applyFont="1" applyBorder="1" applyAlignment="1"/>
    <xf numFmtId="166" fontId="0" fillId="0" borderId="0" xfId="0" applyNumberFormat="1"/>
    <xf numFmtId="3" fontId="0" fillId="0" borderId="1" xfId="0" applyNumberFormat="1" applyBorder="1"/>
    <xf numFmtId="9" fontId="0" fillId="0" borderId="1" xfId="1" applyFont="1" applyBorder="1"/>
    <xf numFmtId="9" fontId="3" fillId="3" borderId="1" xfId="1" applyFont="1" applyFill="1" applyBorder="1" applyAlignment="1">
      <alignment horizontal="right"/>
    </xf>
    <xf numFmtId="9" fontId="4" fillId="5" borderId="1" xfId="1" applyFont="1" applyFill="1" applyBorder="1" applyAlignment="1">
      <alignment horizontal="right"/>
    </xf>
    <xf numFmtId="9" fontId="0" fillId="2" borderId="1" xfId="1" applyFont="1" applyFill="1" applyBorder="1" applyAlignment="1"/>
    <xf numFmtId="9" fontId="0" fillId="0" borderId="4" xfId="1" applyFont="1" applyBorder="1"/>
    <xf numFmtId="9" fontId="0" fillId="0" borderId="1" xfId="1" applyFont="1" applyBorder="1" applyAlignment="1"/>
    <xf numFmtId="166" fontId="0" fillId="0" borderId="1" xfId="2" applyNumberFormat="1" applyFont="1" applyBorder="1"/>
    <xf numFmtId="3" fontId="0" fillId="0" borderId="0" xfId="2" applyNumberFormat="1" applyFont="1"/>
    <xf numFmtId="3" fontId="0" fillId="0" borderId="0" xfId="1" applyNumberFormat="1" applyFont="1"/>
    <xf numFmtId="3" fontId="13" fillId="7" borderId="0" xfId="0" applyNumberFormat="1" applyFont="1" applyFill="1"/>
    <xf numFmtId="3" fontId="13" fillId="7" borderId="0" xfId="1" applyNumberFormat="1" applyFont="1" applyFill="1"/>
    <xf numFmtId="3" fontId="0" fillId="0" borderId="0" xfId="0" applyNumberFormat="1" applyAlignment="1">
      <alignment wrapText="1"/>
    </xf>
    <xf numFmtId="9" fontId="3" fillId="6" borderId="5" xfId="1" applyFont="1" applyFill="1" applyBorder="1" applyAlignment="1">
      <alignment horizontal="right"/>
    </xf>
    <xf numFmtId="9" fontId="3" fillId="6" borderId="1" xfId="1" applyFont="1" applyFill="1" applyBorder="1" applyAlignment="1">
      <alignment horizontal="right"/>
    </xf>
    <xf numFmtId="166" fontId="0" fillId="0" borderId="6" xfId="2" applyNumberFormat="1" applyFont="1" applyBorder="1"/>
    <xf numFmtId="0" fontId="15" fillId="8" borderId="0" xfId="0" applyFont="1" applyFill="1" applyAlignment="1">
      <alignment vertical="center" wrapText="1"/>
    </xf>
    <xf numFmtId="164" fontId="15" fillId="8" borderId="0" xfId="0" applyNumberFormat="1" applyFont="1" applyFill="1" applyAlignment="1">
      <alignment horizontal="righ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164" fontId="0" fillId="0" borderId="0" xfId="0" applyNumberFormat="1"/>
    <xf numFmtId="166" fontId="4" fillId="6" borderId="1" xfId="2" applyNumberFormat="1" applyFont="1" applyFill="1" applyBorder="1" applyAlignment="1">
      <alignment horizontal="right"/>
    </xf>
    <xf numFmtId="166" fontId="6" fillId="6" borderId="1" xfId="2" applyNumberFormat="1" applyFont="1" applyFill="1" applyBorder="1" applyAlignment="1">
      <alignment horizontal="right"/>
    </xf>
    <xf numFmtId="9" fontId="0" fillId="0" borderId="11" xfId="1" applyFont="1" applyBorder="1"/>
    <xf numFmtId="166" fontId="4" fillId="2" borderId="1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9" fontId="3" fillId="0" borderId="0" xfId="1" applyFont="1" applyFill="1" applyBorder="1" applyAlignment="1">
      <alignment horizontal="right"/>
    </xf>
    <xf numFmtId="166" fontId="4" fillId="0" borderId="0" xfId="2" applyNumberFormat="1" applyFont="1" applyFill="1" applyBorder="1" applyAlignment="1">
      <alignment horizontal="right"/>
    </xf>
    <xf numFmtId="0" fontId="0" fillId="0" borderId="0" xfId="0" applyFill="1"/>
    <xf numFmtId="166" fontId="4" fillId="6" borderId="5" xfId="2" applyNumberFormat="1" applyFont="1" applyFill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3" fontId="16" fillId="3" borderId="1" xfId="0" applyNumberFormat="1" applyFont="1" applyFill="1" applyBorder="1" applyAlignment="1">
      <alignment horizontal="right"/>
    </xf>
    <xf numFmtId="9" fontId="16" fillId="3" borderId="1" xfId="1" applyFont="1" applyFill="1" applyBorder="1" applyAlignment="1">
      <alignment horizontal="right"/>
    </xf>
    <xf numFmtId="3" fontId="16" fillId="3" borderId="10" xfId="0" applyNumberFormat="1" applyFont="1" applyFill="1" applyBorder="1" applyAlignment="1">
      <alignment horizontal="right"/>
    </xf>
    <xf numFmtId="9" fontId="16" fillId="3" borderId="12" xfId="1" applyFont="1" applyFill="1" applyBorder="1" applyAlignment="1">
      <alignment horizontal="right"/>
    </xf>
    <xf numFmtId="166" fontId="16" fillId="3" borderId="12" xfId="2" applyNumberFormat="1" applyFont="1" applyFill="1" applyBorder="1" applyAlignment="1">
      <alignment horizontal="right"/>
    </xf>
    <xf numFmtId="3" fontId="16" fillId="3" borderId="10" xfId="2" applyNumberFormat="1" applyFont="1" applyFill="1" applyBorder="1" applyAlignment="1">
      <alignment horizontal="right"/>
    </xf>
    <xf numFmtId="9" fontId="16" fillId="3" borderId="10" xfId="1" applyFont="1" applyFill="1" applyBorder="1" applyAlignment="1">
      <alignment horizontal="right"/>
    </xf>
    <xf numFmtId="0" fontId="17" fillId="0" borderId="0" xfId="0" applyFont="1"/>
    <xf numFmtId="166" fontId="18" fillId="0" borderId="0" xfId="2" applyNumberFormat="1" applyFont="1"/>
    <xf numFmtId="0" fontId="17" fillId="0" borderId="13" xfId="0" applyFont="1" applyBorder="1"/>
    <xf numFmtId="166" fontId="18" fillId="0" borderId="14" xfId="2" applyNumberFormat="1" applyFont="1" applyBorder="1"/>
    <xf numFmtId="166" fontId="18" fillId="0" borderId="15" xfId="2" applyNumberFormat="1" applyFont="1" applyBorder="1"/>
    <xf numFmtId="0" fontId="19" fillId="0" borderId="13" xfId="0" applyFont="1" applyBorder="1"/>
    <xf numFmtId="0" fontId="19" fillId="9" borderId="17" xfId="0" applyFont="1" applyFill="1" applyBorder="1"/>
    <xf numFmtId="10" fontId="0" fillId="0" borderId="0" xfId="0" applyNumberFormat="1"/>
    <xf numFmtId="0" fontId="0" fillId="11" borderId="1" xfId="0" applyFill="1" applyBorder="1"/>
    <xf numFmtId="166" fontId="0" fillId="11" borderId="1" xfId="2" applyNumberFormat="1" applyFont="1" applyFill="1" applyBorder="1"/>
    <xf numFmtId="166" fontId="0" fillId="11" borderId="1" xfId="0" applyNumberFormat="1" applyFill="1" applyBorder="1"/>
    <xf numFmtId="0" fontId="21" fillId="10" borderId="18" xfId="3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26" xfId="0" applyFont="1" applyBorder="1" applyAlignment="1"/>
    <xf numFmtId="9" fontId="0" fillId="0" borderId="27" xfId="1" applyFont="1" applyBorder="1"/>
    <xf numFmtId="9" fontId="3" fillId="3" borderId="27" xfId="1" applyFont="1" applyFill="1" applyBorder="1" applyAlignment="1">
      <alignment horizontal="right"/>
    </xf>
    <xf numFmtId="0" fontId="1" fillId="6" borderId="26" xfId="0" applyFont="1" applyFill="1" applyBorder="1" applyAlignment="1"/>
    <xf numFmtId="9" fontId="3" fillId="6" borderId="27" xfId="1" applyFont="1" applyFill="1" applyBorder="1" applyAlignment="1">
      <alignment horizontal="right"/>
    </xf>
    <xf numFmtId="0" fontId="1" fillId="5" borderId="26" xfId="0" applyFont="1" applyFill="1" applyBorder="1" applyAlignment="1"/>
    <xf numFmtId="9" fontId="4" fillId="5" borderId="27" xfId="1" applyFont="1" applyFill="1" applyBorder="1" applyAlignment="1">
      <alignment horizontal="right"/>
    </xf>
    <xf numFmtId="0" fontId="5" fillId="6" borderId="26" xfId="0" applyFont="1" applyFill="1" applyBorder="1" applyAlignment="1"/>
    <xf numFmtId="9" fontId="0" fillId="2" borderId="27" xfId="1" applyFont="1" applyFill="1" applyBorder="1" applyAlignment="1"/>
    <xf numFmtId="0" fontId="7" fillId="6" borderId="26" xfId="0" applyFont="1" applyFill="1" applyBorder="1" applyAlignment="1"/>
    <xf numFmtId="9" fontId="0" fillId="0" borderId="0" xfId="1" applyFont="1" applyBorder="1"/>
    <xf numFmtId="9" fontId="0" fillId="0" borderId="25" xfId="1" applyFont="1" applyBorder="1"/>
    <xf numFmtId="0" fontId="1" fillId="4" borderId="26" xfId="0" applyFont="1" applyFill="1" applyBorder="1" applyAlignment="1"/>
    <xf numFmtId="0" fontId="8" fillId="0" borderId="26" xfId="0" applyFont="1" applyBorder="1" applyAlignment="1"/>
    <xf numFmtId="9" fontId="0" fillId="0" borderId="27" xfId="1" applyFont="1" applyBorder="1" applyAlignment="1"/>
    <xf numFmtId="0" fontId="9" fillId="2" borderId="26" xfId="0" applyFont="1" applyFill="1" applyBorder="1" applyAlignment="1"/>
    <xf numFmtId="166" fontId="0" fillId="0" borderId="0" xfId="2" applyNumberFormat="1" applyFont="1" applyBorder="1"/>
    <xf numFmtId="3" fontId="0" fillId="0" borderId="0" xfId="0" applyNumberFormat="1" applyBorder="1"/>
    <xf numFmtId="0" fontId="0" fillId="0" borderId="25" xfId="0" applyBorder="1"/>
    <xf numFmtId="0" fontId="0" fillId="0" borderId="13" xfId="0" applyBorder="1"/>
    <xf numFmtId="0" fontId="0" fillId="0" borderId="0" xfId="0" applyBorder="1"/>
    <xf numFmtId="0" fontId="1" fillId="4" borderId="28" xfId="0" applyFont="1" applyFill="1" applyBorder="1" applyAlignment="1"/>
    <xf numFmtId="3" fontId="4" fillId="4" borderId="29" xfId="0" applyNumberFormat="1" applyFont="1" applyFill="1" applyBorder="1" applyAlignment="1">
      <alignment horizontal="right"/>
    </xf>
    <xf numFmtId="3" fontId="4" fillId="4" borderId="30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3" fontId="22" fillId="0" borderId="1" xfId="0" applyNumberFormat="1" applyFont="1" applyFill="1" applyBorder="1"/>
    <xf numFmtId="3" fontId="2" fillId="4" borderId="1" xfId="0" applyNumberFormat="1" applyFont="1" applyFill="1" applyBorder="1" applyAlignment="1">
      <alignment horizontal="right" wrapText="1"/>
    </xf>
    <xf numFmtId="3" fontId="1" fillId="0" borderId="32" xfId="0" applyNumberFormat="1" applyFont="1" applyBorder="1"/>
    <xf numFmtId="3" fontId="1" fillId="12" borderId="32" xfId="0" applyNumberFormat="1" applyFont="1" applyFill="1" applyBorder="1"/>
    <xf numFmtId="0" fontId="0" fillId="0" borderId="1" xfId="0" applyBorder="1"/>
    <xf numFmtId="3" fontId="23" fillId="0" borderId="1" xfId="0" applyNumberFormat="1" applyFont="1" applyFill="1" applyBorder="1"/>
    <xf numFmtId="3" fontId="8" fillId="4" borderId="1" xfId="0" applyNumberFormat="1" applyFont="1" applyFill="1" applyBorder="1"/>
    <xf numFmtId="9" fontId="0" fillId="0" borderId="27" xfId="1" applyFont="1" applyFill="1" applyBorder="1"/>
    <xf numFmtId="3" fontId="3" fillId="2" borderId="5" xfId="0" applyNumberFormat="1" applyFont="1" applyFill="1" applyBorder="1" applyAlignment="1">
      <alignment horizontal="right"/>
    </xf>
    <xf numFmtId="9" fontId="4" fillId="6" borderId="1" xfId="1" applyFont="1" applyFill="1" applyBorder="1" applyAlignment="1">
      <alignment horizontal="right"/>
    </xf>
    <xf numFmtId="9" fontId="6" fillId="6" borderId="1" xfId="1" applyFont="1" applyFill="1" applyBorder="1" applyAlignment="1">
      <alignment horizontal="right"/>
    </xf>
    <xf numFmtId="9" fontId="4" fillId="4" borderId="1" xfId="1" applyFont="1" applyFill="1" applyBorder="1" applyAlignment="1">
      <alignment horizontal="right"/>
    </xf>
    <xf numFmtId="3" fontId="24" fillId="0" borderId="1" xfId="2" applyNumberFormat="1" applyFont="1" applyBorder="1" applyAlignment="1">
      <alignment horizontal="center"/>
    </xf>
    <xf numFmtId="166" fontId="0" fillId="0" borderId="5" xfId="2" applyNumberFormat="1" applyFont="1" applyBorder="1"/>
    <xf numFmtId="9" fontId="0" fillId="0" borderId="32" xfId="1" applyFont="1" applyBorder="1"/>
    <xf numFmtId="9" fontId="0" fillId="0" borderId="33" xfId="1" applyFont="1" applyBorder="1"/>
    <xf numFmtId="9" fontId="0" fillId="0" borderId="34" xfId="1" applyFont="1" applyBorder="1" applyAlignment="1">
      <alignment horizontal="center"/>
    </xf>
    <xf numFmtId="166" fontId="3" fillId="3" borderId="27" xfId="2" applyNumberFormat="1" applyFont="1" applyFill="1" applyBorder="1" applyAlignment="1">
      <alignment horizontal="right"/>
    </xf>
    <xf numFmtId="0" fontId="25" fillId="0" borderId="0" xfId="4"/>
    <xf numFmtId="0" fontId="26" fillId="0" borderId="35" xfId="5"/>
    <xf numFmtId="167" fontId="0" fillId="0" borderId="0" xfId="0" applyNumberFormat="1"/>
    <xf numFmtId="0" fontId="2" fillId="2" borderId="1" xfId="0" applyFont="1" applyFill="1" applyBorder="1" applyAlignment="1">
      <alignment horizontal="center" wrapText="1"/>
    </xf>
    <xf numFmtId="0" fontId="24" fillId="0" borderId="0" xfId="0" applyFont="1"/>
    <xf numFmtId="0" fontId="28" fillId="0" borderId="0" xfId="0" applyFont="1"/>
    <xf numFmtId="0" fontId="31" fillId="0" borderId="0" xfId="11" applyAlignment="1">
      <alignment horizontal="right"/>
    </xf>
    <xf numFmtId="0" fontId="31" fillId="0" borderId="0" xfId="11"/>
    <xf numFmtId="0" fontId="23" fillId="0" borderId="0" xfId="11" applyFont="1"/>
    <xf numFmtId="165" fontId="0" fillId="0" borderId="0" xfId="12" applyFont="1"/>
    <xf numFmtId="0" fontId="32" fillId="0" borderId="0" xfId="11" applyFont="1"/>
    <xf numFmtId="0" fontId="11" fillId="16" borderId="0" xfId="10"/>
    <xf numFmtId="165" fontId="0" fillId="0" borderId="0" xfId="2" applyFont="1" applyFill="1"/>
    <xf numFmtId="166" fontId="0" fillId="0" borderId="0" xfId="2" applyNumberFormat="1" applyFont="1" applyFill="1" applyBorder="1"/>
    <xf numFmtId="166" fontId="11" fillId="0" borderId="0" xfId="10" applyNumberFormat="1" applyFill="1" applyBorder="1"/>
    <xf numFmtId="165" fontId="0" fillId="0" borderId="0" xfId="2" applyFont="1" applyFill="1" applyBorder="1"/>
    <xf numFmtId="165" fontId="27" fillId="0" borderId="36" xfId="6" applyNumberFormat="1" applyAlignment="1">
      <alignment horizontal="center"/>
    </xf>
    <xf numFmtId="0" fontId="27" fillId="0" borderId="36" xfId="6" applyAlignment="1">
      <alignment horizontal="center"/>
    </xf>
    <xf numFmtId="0" fontId="24" fillId="0" borderId="37" xfId="8" applyAlignment="1">
      <alignment horizontal="center"/>
    </xf>
    <xf numFmtId="0" fontId="30" fillId="14" borderId="0" xfId="7" applyFont="1"/>
    <xf numFmtId="165" fontId="29" fillId="0" borderId="0" xfId="2" applyFont="1" applyFill="1"/>
    <xf numFmtId="165" fontId="29" fillId="0" borderId="0" xfId="2" applyFont="1" applyFill="1" applyBorder="1"/>
    <xf numFmtId="165" fontId="11" fillId="0" borderId="0" xfId="2" applyFill="1" applyBorder="1"/>
    <xf numFmtId="165" fontId="29" fillId="14" borderId="0" xfId="2" applyFont="1" applyFill="1"/>
    <xf numFmtId="165" fontId="11" fillId="0" borderId="0" xfId="2" applyFill="1"/>
    <xf numFmtId="165" fontId="27" fillId="0" borderId="0" xfId="2" applyFont="1" applyFill="1" applyBorder="1"/>
    <xf numFmtId="165" fontId="11" fillId="16" borderId="0" xfId="2" applyFill="1"/>
    <xf numFmtId="0" fontId="27" fillId="0" borderId="0" xfId="6" applyFill="1" applyBorder="1" applyAlignment="1">
      <alignment horizontal="center"/>
    </xf>
    <xf numFmtId="0" fontId="20" fillId="15" borderId="0" xfId="9"/>
    <xf numFmtId="166" fontId="11" fillId="0" borderId="0" xfId="2" applyNumberFormat="1" applyFill="1" applyBorder="1"/>
    <xf numFmtId="166" fontId="27" fillId="0" borderId="0" xfId="2" applyNumberFormat="1" applyFont="1" applyFill="1" applyBorder="1"/>
    <xf numFmtId="0" fontId="32" fillId="17" borderId="0" xfId="11" applyFont="1" applyFill="1"/>
    <xf numFmtId="0" fontId="31" fillId="17" borderId="0" xfId="11" applyFill="1"/>
    <xf numFmtId="165" fontId="0" fillId="17" borderId="0" xfId="12" applyFont="1" applyFill="1"/>
    <xf numFmtId="0" fontId="8" fillId="17" borderId="0" xfId="11" applyFont="1" applyFill="1"/>
    <xf numFmtId="168" fontId="3" fillId="13" borderId="5" xfId="1" applyNumberFormat="1" applyFont="1" applyFill="1" applyBorder="1" applyAlignment="1">
      <alignment horizontal="right"/>
    </xf>
    <xf numFmtId="3" fontId="0" fillId="6" borderId="1" xfId="0" applyNumberFormat="1" applyFill="1" applyBorder="1" applyAlignment="1"/>
    <xf numFmtId="3" fontId="0" fillId="6" borderId="1" xfId="2" applyNumberFormat="1" applyFont="1" applyFill="1" applyBorder="1"/>
    <xf numFmtId="0" fontId="0" fillId="6" borderId="1" xfId="0" applyFill="1" applyBorder="1" applyAlignment="1"/>
    <xf numFmtId="166" fontId="0" fillId="6" borderId="6" xfId="2" applyNumberFormat="1" applyFont="1" applyFill="1" applyBorder="1"/>
    <xf numFmtId="9" fontId="0" fillId="6" borderId="4" xfId="1" applyFont="1" applyFill="1" applyBorder="1"/>
    <xf numFmtId="9" fontId="0" fillId="6" borderId="0" xfId="1" applyFont="1" applyFill="1" applyBorder="1"/>
    <xf numFmtId="166" fontId="4" fillId="6" borderId="5" xfId="0" applyNumberFormat="1" applyFont="1" applyFill="1" applyBorder="1" applyAlignment="1">
      <alignment horizontal="right"/>
    </xf>
    <xf numFmtId="3" fontId="3" fillId="6" borderId="1" xfId="0" applyNumberFormat="1" applyFont="1" applyFill="1" applyBorder="1" applyAlignment="1">
      <alignment horizontal="right"/>
    </xf>
    <xf numFmtId="3" fontId="33" fillId="6" borderId="1" xfId="2" applyNumberFormat="1" applyFont="1" applyFill="1" applyBorder="1"/>
    <xf numFmtId="9" fontId="4" fillId="2" borderId="1" xfId="1" applyFont="1" applyFill="1" applyBorder="1" applyAlignment="1">
      <alignment horizontal="right"/>
    </xf>
    <xf numFmtId="0" fontId="0" fillId="0" borderId="1" xfId="0" applyFill="1" applyBorder="1" applyAlignment="1"/>
    <xf numFmtId="0" fontId="2" fillId="2" borderId="38" xfId="0" applyFont="1" applyFill="1" applyBorder="1" applyAlignment="1"/>
    <xf numFmtId="3" fontId="0" fillId="0" borderId="1" xfId="0" applyNumberFormat="1" applyFill="1" applyBorder="1" applyAlignment="1"/>
    <xf numFmtId="9" fontId="0" fillId="0" borderId="1" xfId="1" applyFont="1" applyFill="1" applyBorder="1" applyAlignment="1"/>
    <xf numFmtId="9" fontId="0" fillId="0" borderId="27" xfId="1" applyFont="1" applyFill="1" applyBorder="1" applyAlignment="1"/>
    <xf numFmtId="0" fontId="0" fillId="18" borderId="0" xfId="0" applyFill="1"/>
    <xf numFmtId="165" fontId="0" fillId="18" borderId="0" xfId="2" applyFont="1" applyFill="1"/>
    <xf numFmtId="165" fontId="0" fillId="18" borderId="0" xfId="2" applyFont="1" applyFill="1" applyBorder="1"/>
    <xf numFmtId="166" fontId="0" fillId="18" borderId="0" xfId="2" applyNumberFormat="1" applyFont="1" applyFill="1" applyBorder="1"/>
    <xf numFmtId="165" fontId="29" fillId="18" borderId="0" xfId="2" applyFont="1" applyFill="1" applyBorder="1"/>
    <xf numFmtId="165" fontId="0" fillId="18" borderId="0" xfId="0" applyNumberFormat="1" applyFill="1"/>
    <xf numFmtId="165" fontId="34" fillId="0" borderId="0" xfId="2" applyFont="1" applyFill="1" applyBorder="1"/>
    <xf numFmtId="165" fontId="24" fillId="0" borderId="0" xfId="2" applyFont="1" applyFill="1" applyBorder="1"/>
    <xf numFmtId="166" fontId="24" fillId="0" borderId="0" xfId="2" applyNumberFormat="1" applyFont="1"/>
    <xf numFmtId="9" fontId="0" fillId="0" borderId="0" xfId="1" applyFont="1" applyFill="1" applyBorder="1"/>
    <xf numFmtId="166" fontId="19" fillId="9" borderId="31" xfId="2" applyNumberFormat="1" applyFont="1" applyFill="1" applyBorder="1" applyAlignment="1">
      <alignment horizontal="center"/>
    </xf>
    <xf numFmtId="0" fontId="0" fillId="11" borderId="0" xfId="0" applyFill="1" applyBorder="1"/>
    <xf numFmtId="168" fontId="3" fillId="0" borderId="5" xfId="1" applyNumberFormat="1" applyFont="1" applyFill="1" applyBorder="1" applyAlignment="1">
      <alignment horizontal="right"/>
    </xf>
    <xf numFmtId="0" fontId="19" fillId="0" borderId="0" xfId="0" applyFont="1"/>
    <xf numFmtId="166" fontId="0" fillId="0" borderId="13" xfId="2" applyNumberFormat="1" applyFont="1" applyBorder="1"/>
    <xf numFmtId="166" fontId="0" fillId="0" borderId="13" xfId="0" applyNumberFormat="1" applyBorder="1"/>
    <xf numFmtId="0" fontId="0" fillId="0" borderId="17" xfId="0" applyBorder="1"/>
    <xf numFmtId="0" fontId="0" fillId="0" borderId="43" xfId="0" applyBorder="1"/>
    <xf numFmtId="0" fontId="0" fillId="0" borderId="44" xfId="0" applyBorder="1"/>
    <xf numFmtId="169" fontId="0" fillId="0" borderId="25" xfId="2" applyNumberFormat="1" applyFont="1" applyBorder="1"/>
    <xf numFmtId="169" fontId="0" fillId="0" borderId="13" xfId="2" applyNumberFormat="1" applyFont="1" applyBorder="1"/>
    <xf numFmtId="169" fontId="0" fillId="0" borderId="0" xfId="2" applyNumberFormat="1" applyFont="1" applyBorder="1"/>
    <xf numFmtId="166" fontId="0" fillId="0" borderId="44" xfId="2" applyNumberFormat="1" applyFont="1" applyBorder="1"/>
    <xf numFmtId="0" fontId="0" fillId="0" borderId="16" xfId="0" applyBorder="1" applyAlignment="1">
      <alignment horizontal="center"/>
    </xf>
    <xf numFmtId="0" fontId="0" fillId="0" borderId="42" xfId="0" applyBorder="1" applyAlignment="1">
      <alignment horizontal="center"/>
    </xf>
    <xf numFmtId="0" fontId="36" fillId="0" borderId="0" xfId="0" applyFont="1"/>
    <xf numFmtId="0" fontId="37" fillId="0" borderId="0" xfId="0" applyFont="1"/>
    <xf numFmtId="166" fontId="0" fillId="0" borderId="14" xfId="2" applyNumberFormat="1" applyFont="1" applyBorder="1"/>
    <xf numFmtId="166" fontId="0" fillId="0" borderId="25" xfId="2" applyNumberFormat="1" applyFont="1" applyBorder="1"/>
    <xf numFmtId="166" fontId="0" fillId="0" borderId="16" xfId="2" applyNumberFormat="1" applyFont="1" applyBorder="1"/>
    <xf numFmtId="166" fontId="0" fillId="19" borderId="25" xfId="2" applyNumberFormat="1" applyFont="1" applyFill="1" applyBorder="1"/>
    <xf numFmtId="9" fontId="0" fillId="0" borderId="13" xfId="1" applyFont="1" applyFill="1" applyBorder="1"/>
    <xf numFmtId="9" fontId="0" fillId="0" borderId="25" xfId="1" applyFont="1" applyFill="1" applyBorder="1"/>
    <xf numFmtId="3" fontId="3" fillId="3" borderId="26" xfId="2" applyNumberFormat="1" applyFont="1" applyFill="1" applyBorder="1" applyAlignment="1">
      <alignment horizontal="right"/>
    </xf>
    <xf numFmtId="166" fontId="4" fillId="6" borderId="46" xfId="2" applyNumberFormat="1" applyFont="1" applyFill="1" applyBorder="1" applyAlignment="1">
      <alignment horizontal="right"/>
    </xf>
    <xf numFmtId="3" fontId="4" fillId="5" borderId="26" xfId="2" applyNumberFormat="1" applyFont="1" applyFill="1" applyBorder="1" applyAlignment="1">
      <alignment horizontal="right"/>
    </xf>
    <xf numFmtId="166" fontId="6" fillId="6" borderId="46" xfId="2" applyNumberFormat="1" applyFont="1" applyFill="1" applyBorder="1" applyAlignment="1">
      <alignment horizontal="right"/>
    </xf>
    <xf numFmtId="9" fontId="6" fillId="6" borderId="27" xfId="0" applyNumberFormat="1" applyFont="1" applyFill="1" applyBorder="1" applyAlignment="1">
      <alignment horizontal="right"/>
    </xf>
    <xf numFmtId="3" fontId="0" fillId="0" borderId="26" xfId="0" applyNumberFormat="1" applyFill="1" applyBorder="1" applyAlignment="1"/>
    <xf numFmtId="3" fontId="6" fillId="6" borderId="26" xfId="0" applyNumberFormat="1" applyFont="1" applyFill="1" applyBorder="1" applyAlignment="1">
      <alignment horizontal="right"/>
    </xf>
    <xf numFmtId="9" fontId="6" fillId="6" borderId="27" xfId="1" applyFont="1" applyFill="1" applyBorder="1" applyAlignment="1">
      <alignment horizontal="right"/>
    </xf>
    <xf numFmtId="3" fontId="0" fillId="0" borderId="26" xfId="0" applyNumberFormat="1" applyBorder="1" applyAlignment="1"/>
    <xf numFmtId="3" fontId="3" fillId="2" borderId="26" xfId="0" applyNumberFormat="1" applyFont="1" applyFill="1" applyBorder="1" applyAlignment="1">
      <alignment horizontal="right"/>
    </xf>
    <xf numFmtId="9" fontId="4" fillId="2" borderId="27" xfId="1" applyFont="1" applyFill="1" applyBorder="1" applyAlignment="1">
      <alignment horizontal="right"/>
    </xf>
    <xf numFmtId="3" fontId="3" fillId="2" borderId="46" xfId="0" applyNumberFormat="1" applyFont="1" applyFill="1" applyBorder="1" applyAlignment="1">
      <alignment horizontal="right"/>
    </xf>
    <xf numFmtId="3" fontId="4" fillId="6" borderId="26" xfId="0" applyNumberFormat="1" applyFont="1" applyFill="1" applyBorder="1" applyAlignment="1">
      <alignment horizontal="right"/>
    </xf>
    <xf numFmtId="166" fontId="4" fillId="6" borderId="46" xfId="0" applyNumberFormat="1" applyFont="1" applyFill="1" applyBorder="1" applyAlignment="1">
      <alignment horizontal="right"/>
    </xf>
    <xf numFmtId="3" fontId="4" fillId="2" borderId="26" xfId="0" applyNumberFormat="1" applyFont="1" applyFill="1" applyBorder="1" applyAlignment="1">
      <alignment horizontal="right"/>
    </xf>
    <xf numFmtId="3" fontId="4" fillId="6" borderId="28" xfId="0" applyNumberFormat="1" applyFont="1" applyFill="1" applyBorder="1" applyAlignment="1">
      <alignment horizontal="right"/>
    </xf>
    <xf numFmtId="9" fontId="3" fillId="6" borderId="30" xfId="1" applyFont="1" applyFill="1" applyBorder="1" applyAlignment="1">
      <alignment horizontal="right"/>
    </xf>
    <xf numFmtId="166" fontId="0" fillId="0" borderId="25" xfId="2" applyNumberFormat="1" applyFont="1" applyFill="1" applyBorder="1"/>
    <xf numFmtId="166" fontId="0" fillId="0" borderId="14" xfId="2" applyNumberFormat="1" applyFont="1" applyFill="1" applyBorder="1"/>
    <xf numFmtId="0" fontId="0" fillId="0" borderId="13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166" fontId="0" fillId="0" borderId="8" xfId="2" applyNumberFormat="1" applyFont="1" applyBorder="1"/>
    <xf numFmtId="9" fontId="0" fillId="0" borderId="47" xfId="1" applyFont="1" applyBorder="1"/>
    <xf numFmtId="166" fontId="0" fillId="0" borderId="47" xfId="2" applyNumberFormat="1" applyFont="1" applyBorder="1"/>
    <xf numFmtId="9" fontId="0" fillId="0" borderId="42" xfId="1" applyFont="1" applyBorder="1"/>
    <xf numFmtId="0" fontId="0" fillId="0" borderId="0" xfId="0" applyBorder="1" applyAlignment="1">
      <alignment horizontal="center"/>
    </xf>
    <xf numFmtId="9" fontId="0" fillId="0" borderId="13" xfId="1" applyFont="1" applyBorder="1"/>
    <xf numFmtId="166" fontId="0" fillId="0" borderId="0" xfId="0" applyNumberFormat="1" applyBorder="1"/>
    <xf numFmtId="0" fontId="0" fillId="0" borderId="8" xfId="0" applyBorder="1"/>
    <xf numFmtId="166" fontId="0" fillId="0" borderId="47" xfId="0" applyNumberFormat="1" applyBorder="1"/>
    <xf numFmtId="0" fontId="0" fillId="0" borderId="47" xfId="0" applyBorder="1"/>
    <xf numFmtId="0" fontId="0" fillId="23" borderId="25" xfId="0" applyFill="1" applyBorder="1"/>
    <xf numFmtId="0" fontId="0" fillId="23" borderId="42" xfId="0" applyFill="1" applyBorder="1"/>
    <xf numFmtId="9" fontId="0" fillId="21" borderId="0" xfId="1" applyFont="1" applyFill="1" applyBorder="1"/>
    <xf numFmtId="166" fontId="0" fillId="21" borderId="0" xfId="2" applyNumberFormat="1" applyFont="1" applyFill="1" applyBorder="1"/>
    <xf numFmtId="166" fontId="0" fillId="21" borderId="25" xfId="2" applyNumberFormat="1" applyFont="1" applyFill="1" applyBorder="1"/>
    <xf numFmtId="0" fontId="0" fillId="23" borderId="0" xfId="0" applyFill="1" applyBorder="1"/>
    <xf numFmtId="3" fontId="4" fillId="6" borderId="29" xfId="0" applyNumberFormat="1" applyFont="1" applyFill="1" applyBorder="1" applyAlignment="1">
      <alignment horizontal="right"/>
    </xf>
    <xf numFmtId="9" fontId="4" fillId="6" borderId="29" xfId="0" applyNumberFormat="1" applyFont="1" applyFill="1" applyBorder="1" applyAlignment="1">
      <alignment horizontal="right"/>
    </xf>
    <xf numFmtId="166" fontId="0" fillId="0" borderId="1" xfId="2" applyNumberFormat="1" applyFont="1" applyBorder="1" applyAlignment="1"/>
    <xf numFmtId="168" fontId="3" fillId="0" borderId="1" xfId="1" applyNumberFormat="1" applyFont="1" applyFill="1" applyBorder="1" applyAlignment="1">
      <alignment horizontal="right"/>
    </xf>
    <xf numFmtId="9" fontId="3" fillId="3" borderId="5" xfId="1" applyFont="1" applyFill="1" applyBorder="1" applyAlignment="1"/>
    <xf numFmtId="166" fontId="3" fillId="3" borderId="5" xfId="2" applyNumberFormat="1" applyFont="1" applyFill="1" applyBorder="1" applyAlignment="1"/>
    <xf numFmtId="0" fontId="39" fillId="0" borderId="50" xfId="0" applyFont="1" applyBorder="1" applyAlignment="1">
      <alignment vertical="top" wrapText="1"/>
    </xf>
    <xf numFmtId="0" fontId="41" fillId="0" borderId="53" xfId="0" applyFont="1" applyBorder="1" applyAlignment="1">
      <alignment horizontal="left" wrapText="1" readingOrder="1"/>
    </xf>
    <xf numFmtId="9" fontId="4" fillId="6" borderId="1" xfId="1" applyFont="1" applyFill="1" applyBorder="1" applyAlignment="1"/>
    <xf numFmtId="9" fontId="4" fillId="6" borderId="5" xfId="1" applyFont="1" applyFill="1" applyBorder="1" applyAlignment="1"/>
    <xf numFmtId="0" fontId="42" fillId="0" borderId="56" xfId="0" applyFont="1" applyBorder="1" applyAlignment="1">
      <alignment horizontal="left" wrapText="1" readingOrder="1"/>
    </xf>
    <xf numFmtId="3" fontId="42" fillId="0" borderId="57" xfId="0" applyNumberFormat="1" applyFont="1" applyBorder="1" applyAlignment="1">
      <alignment horizontal="right" wrapText="1" readingOrder="1"/>
    </xf>
    <xf numFmtId="9" fontId="4" fillId="5" borderId="1" xfId="1" applyFont="1" applyFill="1" applyBorder="1" applyAlignment="1"/>
    <xf numFmtId="166" fontId="4" fillId="5" borderId="1" xfId="2" applyNumberFormat="1" applyFont="1" applyFill="1" applyBorder="1" applyAlignment="1"/>
    <xf numFmtId="9" fontId="6" fillId="6" borderId="1" xfId="1" applyFont="1" applyFill="1" applyBorder="1" applyAlignment="1"/>
    <xf numFmtId="9" fontId="6" fillId="6" borderId="5" xfId="1" applyFont="1" applyFill="1" applyBorder="1" applyAlignment="1"/>
    <xf numFmtId="3" fontId="6" fillId="20" borderId="1" xfId="0" applyNumberFormat="1" applyFont="1" applyFill="1" applyBorder="1" applyAlignment="1">
      <alignment horizontal="right"/>
    </xf>
    <xf numFmtId="9" fontId="6" fillId="20" borderId="1" xfId="0" applyNumberFormat="1" applyFont="1" applyFill="1" applyBorder="1" applyAlignment="1">
      <alignment horizontal="right"/>
    </xf>
    <xf numFmtId="0" fontId="43" fillId="0" borderId="56" xfId="0" applyFont="1" applyBorder="1" applyAlignment="1">
      <alignment horizontal="left" wrapText="1" readingOrder="1"/>
    </xf>
    <xf numFmtId="3" fontId="44" fillId="0" borderId="57" xfId="0" applyNumberFormat="1" applyFont="1" applyBorder="1" applyAlignment="1">
      <alignment horizontal="right" wrapText="1" readingOrder="1"/>
    </xf>
    <xf numFmtId="3" fontId="0" fillId="0" borderId="1" xfId="0" applyNumberFormat="1" applyFill="1" applyBorder="1" applyAlignment="1">
      <alignment horizontal="right"/>
    </xf>
    <xf numFmtId="166" fontId="0" fillId="0" borderId="1" xfId="2" applyNumberFormat="1" applyFont="1" applyFill="1" applyBorder="1" applyAlignment="1"/>
    <xf numFmtId="0" fontId="45" fillId="25" borderId="56" xfId="0" applyFont="1" applyFill="1" applyBorder="1" applyAlignment="1">
      <alignment horizontal="left" wrapText="1" readingOrder="1"/>
    </xf>
    <xf numFmtId="3" fontId="44" fillId="25" borderId="57" xfId="0" applyNumberFormat="1" applyFont="1" applyFill="1" applyBorder="1" applyAlignment="1">
      <alignment horizontal="right" wrapText="1" readingOrder="1"/>
    </xf>
    <xf numFmtId="0" fontId="46" fillId="0" borderId="51" xfId="0" applyFont="1" applyBorder="1" applyAlignment="1">
      <alignment horizontal="left" wrapText="1" readingOrder="1"/>
    </xf>
    <xf numFmtId="0" fontId="46" fillId="0" borderId="57" xfId="0" applyFont="1" applyBorder="1" applyAlignment="1">
      <alignment horizontal="left" wrapText="1" readingOrder="1"/>
    </xf>
    <xf numFmtId="3" fontId="6" fillId="0" borderId="1" xfId="0" applyNumberFormat="1" applyFont="1" applyFill="1" applyBorder="1" applyAlignment="1">
      <alignment horizontal="right"/>
    </xf>
    <xf numFmtId="9" fontId="6" fillId="0" borderId="1" xfId="1" applyFont="1" applyFill="1" applyBorder="1" applyAlignment="1"/>
    <xf numFmtId="166" fontId="6" fillId="0" borderId="1" xfId="2" applyNumberFormat="1" applyFont="1" applyFill="1" applyBorder="1" applyAlignment="1"/>
    <xf numFmtId="9" fontId="6" fillId="0" borderId="1" xfId="1" applyFont="1" applyFill="1" applyBorder="1" applyAlignment="1">
      <alignment horizontal="right"/>
    </xf>
    <xf numFmtId="0" fontId="41" fillId="0" borderId="54" xfId="0" applyFont="1" applyBorder="1" applyAlignment="1">
      <alignment horizontal="left" wrapText="1" readingOrder="1"/>
    </xf>
    <xf numFmtId="9" fontId="4" fillId="2" borderId="1" xfId="1" applyFont="1" applyFill="1" applyBorder="1" applyAlignment="1"/>
    <xf numFmtId="166" fontId="4" fillId="2" borderId="1" xfId="2" applyNumberFormat="1" applyFont="1" applyFill="1" applyBorder="1" applyAlignment="1"/>
    <xf numFmtId="3" fontId="3" fillId="20" borderId="1" xfId="0" applyNumberFormat="1" applyFont="1" applyFill="1" applyBorder="1" applyAlignment="1">
      <alignment horizontal="right"/>
    </xf>
    <xf numFmtId="9" fontId="4" fillId="20" borderId="1" xfId="1" applyFont="1" applyFill="1" applyBorder="1" applyAlignment="1">
      <alignment horizontal="right"/>
    </xf>
    <xf numFmtId="3" fontId="40" fillId="25" borderId="57" xfId="0" applyNumberFormat="1" applyFont="1" applyFill="1" applyBorder="1" applyAlignment="1">
      <alignment horizontal="right" wrapText="1" readingOrder="1"/>
    </xf>
    <xf numFmtId="0" fontId="40" fillId="0" borderId="56" xfId="0" applyFont="1" applyBorder="1" applyAlignment="1">
      <alignment horizontal="left" wrapText="1" readingOrder="1"/>
    </xf>
    <xf numFmtId="3" fontId="40" fillId="0" borderId="58" xfId="0" applyNumberFormat="1" applyFont="1" applyBorder="1" applyAlignment="1">
      <alignment horizontal="right" wrapText="1" readingOrder="1"/>
    </xf>
    <xf numFmtId="3" fontId="40" fillId="0" borderId="56" xfId="0" applyNumberFormat="1" applyFont="1" applyBorder="1" applyAlignment="1">
      <alignment horizontal="right" wrapText="1" readingOrder="1"/>
    </xf>
    <xf numFmtId="0" fontId="40" fillId="25" borderId="56" xfId="0" applyFont="1" applyFill="1" applyBorder="1" applyAlignment="1">
      <alignment horizontal="left" wrapText="1" readingOrder="1"/>
    </xf>
    <xf numFmtId="0" fontId="40" fillId="25" borderId="57" xfId="0" applyFont="1" applyFill="1" applyBorder="1" applyAlignment="1">
      <alignment horizontal="left" wrapText="1" readingOrder="1"/>
    </xf>
    <xf numFmtId="3" fontId="0" fillId="0" borderId="1" xfId="0" applyNumberFormat="1" applyBorder="1" applyAlignment="1">
      <alignment horizontal="right"/>
    </xf>
    <xf numFmtId="3" fontId="40" fillId="0" borderId="57" xfId="0" applyNumberFormat="1" applyFont="1" applyBorder="1" applyAlignment="1">
      <alignment horizontal="right" wrapText="1" readingOrder="1"/>
    </xf>
    <xf numFmtId="9" fontId="4" fillId="20" borderId="1" xfId="0" applyNumberFormat="1" applyFont="1" applyFill="1" applyBorder="1" applyAlignment="1">
      <alignment horizontal="right"/>
    </xf>
    <xf numFmtId="9" fontId="4" fillId="4" borderId="1" xfId="1" applyFont="1" applyFill="1" applyBorder="1" applyAlignment="1"/>
    <xf numFmtId="0" fontId="40" fillId="0" borderId="59" xfId="0" applyFont="1" applyBorder="1" applyAlignment="1">
      <alignment horizontal="left" wrapText="1" readingOrder="1"/>
    </xf>
    <xf numFmtId="3" fontId="40" fillId="0" borderId="60" xfId="0" applyNumberFormat="1" applyFont="1" applyBorder="1" applyAlignment="1">
      <alignment horizontal="right" wrapText="1" readingOrder="1"/>
    </xf>
    <xf numFmtId="3" fontId="4" fillId="20" borderId="1" xfId="0" applyNumberFormat="1" applyFont="1" applyFill="1" applyBorder="1" applyAlignment="1">
      <alignment horizontal="right"/>
    </xf>
    <xf numFmtId="9" fontId="3" fillId="6" borderId="27" xfId="1" applyFont="1" applyFill="1" applyBorder="1" applyAlignment="1"/>
    <xf numFmtId="166" fontId="3" fillId="6" borderId="5" xfId="2" applyNumberFormat="1" applyFont="1" applyFill="1" applyBorder="1" applyAlignment="1"/>
    <xf numFmtId="9" fontId="3" fillId="6" borderId="5" xfId="1" applyFont="1" applyFill="1" applyBorder="1" applyAlignment="1"/>
    <xf numFmtId="0" fontId="1" fillId="0" borderId="61" xfId="0" applyFont="1" applyFill="1" applyBorder="1" applyAlignment="1"/>
    <xf numFmtId="3" fontId="4" fillId="0" borderId="62" xfId="0" applyNumberFormat="1" applyFont="1" applyFill="1" applyBorder="1" applyAlignment="1">
      <alignment horizontal="right"/>
    </xf>
    <xf numFmtId="9" fontId="3" fillId="0" borderId="62" xfId="1" applyFont="1" applyFill="1" applyBorder="1" applyAlignment="1"/>
    <xf numFmtId="166" fontId="3" fillId="0" borderId="62" xfId="2" applyNumberFormat="1" applyFont="1" applyFill="1" applyBorder="1" applyAlignment="1"/>
    <xf numFmtId="9" fontId="3" fillId="0" borderId="62" xfId="1" applyFont="1" applyFill="1" applyBorder="1" applyAlignment="1">
      <alignment horizontal="right"/>
    </xf>
    <xf numFmtId="166" fontId="18" fillId="0" borderId="15" xfId="2" applyNumberFormat="1" applyFont="1" applyFill="1" applyBorder="1"/>
    <xf numFmtId="166" fontId="0" fillId="0" borderId="42" xfId="2" applyNumberFormat="1" applyFont="1" applyBorder="1"/>
    <xf numFmtId="0" fontId="0" fillId="0" borderId="42" xfId="0" applyBorder="1"/>
    <xf numFmtId="0" fontId="0" fillId="0" borderId="14" xfId="0" applyBorder="1" applyAlignment="1">
      <alignment horizontal="center"/>
    </xf>
    <xf numFmtId="0" fontId="0" fillId="0" borderId="25" xfId="0" applyBorder="1" applyAlignment="1">
      <alignment horizontal="center"/>
    </xf>
    <xf numFmtId="0" fontId="24" fillId="0" borderId="5" xfId="0" applyFont="1" applyBorder="1" applyAlignment="1"/>
    <xf numFmtId="0" fontId="24" fillId="0" borderId="33" xfId="0" applyFont="1" applyBorder="1" applyAlignment="1"/>
    <xf numFmtId="0" fontId="24" fillId="0" borderId="32" xfId="0" applyFont="1" applyBorder="1" applyAlignment="1"/>
    <xf numFmtId="165" fontId="0" fillId="0" borderId="43" xfId="2" applyFont="1" applyBorder="1"/>
    <xf numFmtId="170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/>
    <xf numFmtId="0" fontId="24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24" fillId="26" borderId="1" xfId="0" applyFont="1" applyFill="1" applyBorder="1" applyAlignment="1">
      <alignment horizontal="center" wrapText="1"/>
    </xf>
    <xf numFmtId="166" fontId="0" fillId="26" borderId="1" xfId="2" applyNumberFormat="1" applyFont="1" applyFill="1" applyBorder="1"/>
    <xf numFmtId="0" fontId="24" fillId="27" borderId="1" xfId="0" applyFont="1" applyFill="1" applyBorder="1" applyAlignment="1">
      <alignment horizontal="center" wrapText="1"/>
    </xf>
    <xf numFmtId="166" fontId="0" fillId="27" borderId="1" xfId="2" applyNumberFormat="1" applyFont="1" applyFill="1" applyBorder="1"/>
    <xf numFmtId="166" fontId="0" fillId="27" borderId="0" xfId="0" applyNumberFormat="1" applyFill="1"/>
    <xf numFmtId="0" fontId="30" fillId="0" borderId="0" xfId="0" applyFont="1"/>
    <xf numFmtId="0" fontId="24" fillId="27" borderId="0" xfId="0" applyFont="1" applyFill="1" applyBorder="1" applyAlignment="1">
      <alignment horizontal="center" wrapText="1"/>
    </xf>
    <xf numFmtId="166" fontId="0" fillId="27" borderId="0" xfId="2" applyNumberFormat="1" applyFont="1" applyFill="1" applyBorder="1"/>
    <xf numFmtId="169" fontId="0" fillId="0" borderId="1" xfId="0" applyNumberFormat="1" applyBorder="1"/>
    <xf numFmtId="166" fontId="24" fillId="0" borderId="1" xfId="2" applyNumberFormat="1" applyFont="1" applyBorder="1" applyAlignment="1">
      <alignment horizontal="center" wrapText="1"/>
    </xf>
    <xf numFmtId="166" fontId="24" fillId="0" borderId="1" xfId="0" applyNumberFormat="1" applyFont="1" applyBorder="1" applyAlignment="1">
      <alignment horizontal="center"/>
    </xf>
    <xf numFmtId="172" fontId="0" fillId="0" borderId="0" xfId="0" applyNumberFormat="1"/>
    <xf numFmtId="166" fontId="0" fillId="28" borderId="25" xfId="2" applyNumberFormat="1" applyFont="1" applyFill="1" applyBorder="1"/>
    <xf numFmtId="3" fontId="24" fillId="0" borderId="0" xfId="0" applyNumberFormat="1" applyFont="1"/>
    <xf numFmtId="168" fontId="3" fillId="3" borderId="27" xfId="1" applyNumberFormat="1" applyFont="1" applyFill="1" applyBorder="1" applyAlignment="1">
      <alignment horizontal="right"/>
    </xf>
    <xf numFmtId="0" fontId="0" fillId="19" borderId="0" xfId="0" applyFill="1"/>
    <xf numFmtId="169" fontId="0" fillId="0" borderId="25" xfId="2" applyNumberFormat="1" applyFont="1" applyFill="1" applyBorder="1"/>
    <xf numFmtId="169" fontId="0" fillId="0" borderId="13" xfId="2" applyNumberFormat="1" applyFont="1" applyFill="1" applyBorder="1"/>
    <xf numFmtId="169" fontId="0" fillId="0" borderId="0" xfId="2" applyNumberFormat="1" applyFont="1" applyFill="1" applyBorder="1"/>
    <xf numFmtId="169" fontId="30" fillId="26" borderId="0" xfId="2" applyNumberFormat="1" applyFont="1" applyFill="1" applyBorder="1"/>
    <xf numFmtId="171" fontId="21" fillId="0" borderId="0" xfId="0" applyNumberFormat="1" applyFont="1" applyFill="1"/>
    <xf numFmtId="166" fontId="19" fillId="0" borderId="14" xfId="2" applyNumberFormat="1" applyFont="1" applyBorder="1"/>
    <xf numFmtId="166" fontId="18" fillId="29" borderId="14" xfId="2" applyNumberFormat="1" applyFont="1" applyFill="1" applyBorder="1"/>
    <xf numFmtId="0" fontId="17" fillId="29" borderId="13" xfId="0" applyFont="1" applyFill="1" applyBorder="1"/>
    <xf numFmtId="166" fontId="18" fillId="29" borderId="16" xfId="2" applyNumberFormat="1" applyFont="1" applyFill="1" applyBorder="1"/>
    <xf numFmtId="0" fontId="19" fillId="0" borderId="13" xfId="0" applyFont="1" applyFill="1" applyBorder="1"/>
    <xf numFmtId="10" fontId="0" fillId="19" borderId="0" xfId="1" applyNumberFormat="1" applyFont="1" applyFill="1"/>
    <xf numFmtId="166" fontId="0" fillId="19" borderId="0" xfId="2" applyNumberFormat="1" applyFont="1" applyFill="1"/>
    <xf numFmtId="166" fontId="0" fillId="19" borderId="0" xfId="0" applyNumberFormat="1" applyFill="1"/>
    <xf numFmtId="9" fontId="0" fillId="19" borderId="0" xfId="1" applyFont="1" applyFill="1"/>
    <xf numFmtId="166" fontId="18" fillId="30" borderId="14" xfId="2" applyNumberFormat="1" applyFont="1" applyFill="1" applyBorder="1"/>
    <xf numFmtId="166" fontId="0" fillId="0" borderId="43" xfId="0" applyNumberFormat="1" applyBorder="1"/>
    <xf numFmtId="166" fontId="0" fillId="19" borderId="14" xfId="2" applyNumberFormat="1" applyFont="1" applyFill="1" applyBorder="1"/>
    <xf numFmtId="166" fontId="0" fillId="18" borderId="14" xfId="2" applyNumberFormat="1" applyFont="1" applyFill="1" applyBorder="1"/>
    <xf numFmtId="166" fontId="0" fillId="28" borderId="14" xfId="2" applyNumberFormat="1" applyFont="1" applyFill="1" applyBorder="1"/>
    <xf numFmtId="169" fontId="24" fillId="0" borderId="0" xfId="0" applyNumberFormat="1" applyFont="1" applyBorder="1" applyAlignment="1"/>
    <xf numFmtId="0" fontId="0" fillId="19" borderId="0" xfId="0" applyFill="1" applyBorder="1" applyAlignment="1">
      <alignment horizontal="center"/>
    </xf>
    <xf numFmtId="0" fontId="49" fillId="0" borderId="0" xfId="0" applyFont="1" applyAlignment="1">
      <alignment horizontal="center"/>
    </xf>
    <xf numFmtId="0" fontId="50" fillId="0" borderId="0" xfId="0" applyFont="1"/>
    <xf numFmtId="173" fontId="11" fillId="0" borderId="0" xfId="18" applyNumberFormat="1" applyFont="1"/>
    <xf numFmtId="170" fontId="11" fillId="0" borderId="0" xfId="18" applyNumberFormat="1" applyFont="1"/>
    <xf numFmtId="43" fontId="11" fillId="0" borderId="0" xfId="15" applyFont="1"/>
    <xf numFmtId="174" fontId="0" fillId="0" borderId="0" xfId="0" applyNumberFormat="1"/>
    <xf numFmtId="175" fontId="0" fillId="0" borderId="0" xfId="0" applyNumberFormat="1"/>
    <xf numFmtId="169" fontId="0" fillId="0" borderId="1" xfId="0" applyNumberFormat="1" applyBorder="1" applyAlignment="1">
      <alignment horizontal="right"/>
    </xf>
    <xf numFmtId="172" fontId="0" fillId="0" borderId="0" xfId="0" applyNumberFormat="1" applyAlignment="1">
      <alignment horizontal="right"/>
    </xf>
    <xf numFmtId="43" fontId="24" fillId="27" borderId="0" xfId="0" applyNumberFormat="1" applyFont="1" applyFill="1" applyBorder="1" applyAlignment="1">
      <alignment horizontal="center" wrapText="1"/>
    </xf>
    <xf numFmtId="169" fontId="0" fillId="0" borderId="1" xfId="2" applyNumberFormat="1" applyFont="1" applyBorder="1"/>
    <xf numFmtId="169" fontId="0" fillId="0" borderId="1" xfId="2" applyNumberFormat="1" applyFont="1" applyFill="1" applyBorder="1"/>
    <xf numFmtId="0" fontId="0" fillId="31" borderId="1" xfId="0" applyFill="1" applyBorder="1" applyAlignment="1">
      <alignment horizontal="center"/>
    </xf>
    <xf numFmtId="0" fontId="0" fillId="28" borderId="1" xfId="0" applyFill="1" applyBorder="1" applyAlignment="1">
      <alignment horizontal="center"/>
    </xf>
    <xf numFmtId="0" fontId="51" fillId="32" borderId="1" xfId="0" applyFont="1" applyFill="1" applyBorder="1" applyAlignment="1">
      <alignment horizontal="center" vertical="center" wrapText="1" readingOrder="1"/>
    </xf>
    <xf numFmtId="0" fontId="52" fillId="32" borderId="1" xfId="0" applyFont="1" applyFill="1" applyBorder="1" applyAlignment="1">
      <alignment horizontal="center" wrapText="1" readingOrder="1"/>
    </xf>
    <xf numFmtId="0" fontId="52" fillId="32" borderId="1" xfId="0" applyFont="1" applyFill="1" applyBorder="1" applyAlignment="1">
      <alignment horizontal="center" vertical="center" wrapText="1" readingOrder="1"/>
    </xf>
    <xf numFmtId="0" fontId="53" fillId="0" borderId="1" xfId="0" applyFont="1" applyBorder="1" applyAlignment="1">
      <alignment horizontal="left" vertical="center" wrapText="1" readingOrder="1"/>
    </xf>
    <xf numFmtId="176" fontId="54" fillId="0" borderId="1" xfId="18" applyNumberFormat="1" applyFont="1" applyBorder="1" applyAlignment="1">
      <alignment horizontal="center" vertical="center" wrapText="1" readingOrder="1"/>
    </xf>
    <xf numFmtId="176" fontId="54" fillId="20" borderId="1" xfId="18" applyNumberFormat="1" applyFont="1" applyFill="1" applyBorder="1" applyAlignment="1">
      <alignment horizontal="center" vertical="center" wrapText="1" readingOrder="1"/>
    </xf>
    <xf numFmtId="176" fontId="54" fillId="28" borderId="1" xfId="18" applyNumberFormat="1" applyFont="1" applyFill="1" applyBorder="1" applyAlignment="1">
      <alignment horizontal="center" vertical="center" wrapText="1" readingOrder="1"/>
    </xf>
    <xf numFmtId="0" fontId="53" fillId="0" borderId="1" xfId="0" applyFont="1" applyFill="1" applyBorder="1" applyAlignment="1">
      <alignment horizontal="left" vertical="center" wrapText="1" readingOrder="1"/>
    </xf>
    <xf numFmtId="176" fontId="54" fillId="33" borderId="1" xfId="18" applyNumberFormat="1" applyFont="1" applyFill="1" applyBorder="1" applyAlignment="1">
      <alignment horizontal="center" vertical="center" wrapText="1" readingOrder="1"/>
    </xf>
    <xf numFmtId="0" fontId="55" fillId="34" borderId="1" xfId="0" applyFont="1" applyFill="1" applyBorder="1" applyAlignment="1">
      <alignment horizontal="left" vertical="center" wrapText="1" readingOrder="1"/>
    </xf>
    <xf numFmtId="9" fontId="56" fillId="34" borderId="1" xfId="0" applyNumberFormat="1" applyFont="1" applyFill="1" applyBorder="1"/>
    <xf numFmtId="0" fontId="55" fillId="13" borderId="1" xfId="0" applyFont="1" applyFill="1" applyBorder="1" applyAlignment="1">
      <alignment horizontal="left" vertical="center" wrapText="1" readingOrder="1"/>
    </xf>
    <xf numFmtId="9" fontId="56" fillId="13" borderId="1" xfId="0" applyNumberFormat="1" applyFont="1" applyFill="1" applyBorder="1"/>
    <xf numFmtId="0" fontId="57" fillId="32" borderId="1" xfId="0" applyFont="1" applyFill="1" applyBorder="1" applyAlignment="1">
      <alignment horizontal="center" vertical="center" wrapText="1" readingOrder="1"/>
    </xf>
    <xf numFmtId="0" fontId="58" fillId="32" borderId="1" xfId="0" applyFont="1" applyFill="1" applyBorder="1" applyAlignment="1">
      <alignment horizontal="center" vertical="center" wrapText="1" readingOrder="1"/>
    </xf>
    <xf numFmtId="0" fontId="53" fillId="34" borderId="1" xfId="0" applyFont="1" applyFill="1" applyBorder="1" applyAlignment="1">
      <alignment horizontal="left" vertical="center" wrapText="1" readingOrder="1"/>
    </xf>
    <xf numFmtId="9" fontId="24" fillId="34" borderId="1" xfId="0" applyNumberFormat="1" applyFont="1" applyFill="1" applyBorder="1"/>
    <xf numFmtId="0" fontId="53" fillId="13" borderId="1" xfId="0" applyFont="1" applyFill="1" applyBorder="1" applyAlignment="1">
      <alignment horizontal="left" vertical="center" wrapText="1" readingOrder="1"/>
    </xf>
    <xf numFmtId="9" fontId="24" fillId="13" borderId="1" xfId="0" applyNumberFormat="1" applyFont="1" applyFill="1" applyBorder="1"/>
    <xf numFmtId="0" fontId="53" fillId="13" borderId="0" xfId="0" applyFont="1" applyFill="1" applyBorder="1" applyAlignment="1">
      <alignment horizontal="left" vertical="center" wrapText="1" readingOrder="1"/>
    </xf>
    <xf numFmtId="44" fontId="0" fillId="0" borderId="0" xfId="18" applyFont="1"/>
    <xf numFmtId="44" fontId="0" fillId="0" borderId="0" xfId="0" applyNumberFormat="1"/>
    <xf numFmtId="0" fontId="12" fillId="19" borderId="1" xfId="0" applyFont="1" applyFill="1" applyBorder="1" applyAlignment="1">
      <alignment horizontal="center"/>
    </xf>
    <xf numFmtId="9" fontId="24" fillId="0" borderId="0" xfId="1" applyFont="1"/>
    <xf numFmtId="166" fontId="24" fillId="0" borderId="1" xfId="2" applyNumberFormat="1" applyFont="1" applyBorder="1"/>
    <xf numFmtId="165" fontId="24" fillId="0" borderId="1" xfId="2" applyFont="1" applyBorder="1"/>
    <xf numFmtId="165" fontId="11" fillId="0" borderId="1" xfId="2" applyFill="1" applyBorder="1"/>
    <xf numFmtId="165" fontId="0" fillId="0" borderId="1" xfId="2" applyFont="1" applyBorder="1"/>
    <xf numFmtId="169" fontId="24" fillId="0" borderId="1" xfId="2" applyNumberFormat="1" applyFont="1" applyFill="1" applyBorder="1"/>
    <xf numFmtId="169" fontId="24" fillId="0" borderId="1" xfId="0" applyNumberFormat="1" applyFont="1" applyBorder="1"/>
    <xf numFmtId="9" fontId="24" fillId="0" borderId="1" xfId="1" applyFont="1" applyBorder="1"/>
    <xf numFmtId="43" fontId="0" fillId="0" borderId="0" xfId="2" applyNumberFormat="1" applyFont="1"/>
    <xf numFmtId="166" fontId="18" fillId="30" borderId="15" xfId="2" applyNumberFormat="1" applyFont="1" applyFill="1" applyBorder="1"/>
    <xf numFmtId="44" fontId="0" fillId="0" borderId="1" xfId="0" applyNumberFormat="1" applyBorder="1"/>
    <xf numFmtId="44" fontId="0" fillId="0" borderId="1" xfId="18" applyFont="1" applyBorder="1"/>
    <xf numFmtId="0" fontId="53" fillId="0" borderId="11" xfId="0" applyFont="1" applyFill="1" applyBorder="1" applyAlignment="1">
      <alignment horizontal="left" vertical="center" wrapText="1" readingOrder="1"/>
    </xf>
    <xf numFmtId="169" fontId="54" fillId="20" borderId="1" xfId="2" applyNumberFormat="1" applyFont="1" applyFill="1" applyBorder="1" applyAlignment="1">
      <alignment horizontal="center" vertical="center" wrapText="1" readingOrder="1"/>
    </xf>
    <xf numFmtId="0" fontId="53" fillId="0" borderId="0" xfId="0" applyFont="1" applyFill="1" applyBorder="1" applyAlignment="1">
      <alignment horizontal="left" vertical="center" wrapText="1" readingOrder="1"/>
    </xf>
    <xf numFmtId="177" fontId="0" fillId="0" borderId="0" xfId="18" applyNumberFormat="1" applyFont="1"/>
    <xf numFmtId="177" fontId="0" fillId="0" borderId="0" xfId="0" applyNumberFormat="1"/>
    <xf numFmtId="43" fontId="0" fillId="0" borderId="0" xfId="0" applyNumberFormat="1"/>
    <xf numFmtId="169" fontId="24" fillId="26" borderId="31" xfId="0" applyNumberFormat="1" applyFont="1" applyFill="1" applyBorder="1" applyAlignment="1"/>
    <xf numFmtId="0" fontId="24" fillId="17" borderId="5" xfId="0" applyFont="1" applyFill="1" applyBorder="1" applyAlignment="1"/>
    <xf numFmtId="169" fontId="24" fillId="17" borderId="31" xfId="0" applyNumberFormat="1" applyFont="1" applyFill="1" applyBorder="1" applyAlignment="1"/>
    <xf numFmtId="0" fontId="24" fillId="17" borderId="32" xfId="0" applyFont="1" applyFill="1" applyBorder="1" applyAlignment="1"/>
    <xf numFmtId="0" fontId="24" fillId="17" borderId="1" xfId="0" applyFont="1" applyFill="1" applyBorder="1" applyAlignment="1"/>
    <xf numFmtId="165" fontId="30" fillId="17" borderId="1" xfId="2" applyFont="1" applyFill="1" applyBorder="1"/>
    <xf numFmtId="165" fontId="0" fillId="17" borderId="1" xfId="2" applyFont="1" applyFill="1" applyBorder="1"/>
    <xf numFmtId="3" fontId="13" fillId="28" borderId="0" xfId="0" applyNumberFormat="1" applyFont="1" applyFill="1"/>
    <xf numFmtId="9" fontId="13" fillId="28" borderId="0" xfId="1" applyFont="1" applyFill="1"/>
    <xf numFmtId="165" fontId="59" fillId="19" borderId="1" xfId="2" applyFont="1" applyFill="1" applyBorder="1"/>
    <xf numFmtId="9" fontId="59" fillId="19" borderId="1" xfId="1" applyFont="1" applyFill="1" applyBorder="1"/>
    <xf numFmtId="0" fontId="0" fillId="0" borderId="0" xfId="0" applyAlignment="1">
      <alignment horizontal="right"/>
    </xf>
    <xf numFmtId="0" fontId="12" fillId="19" borderId="1" xfId="0" applyFont="1" applyFill="1" applyBorder="1" applyAlignment="1">
      <alignment horizontal="center"/>
    </xf>
    <xf numFmtId="168" fontId="60" fillId="0" borderId="0" xfId="1" applyNumberFormat="1" applyFont="1"/>
    <xf numFmtId="175" fontId="0" fillId="0" borderId="1" xfId="0" applyNumberFormat="1" applyBorder="1"/>
    <xf numFmtId="175" fontId="0" fillId="35" borderId="1" xfId="0" applyNumberFormat="1" applyFill="1" applyBorder="1"/>
    <xf numFmtId="10" fontId="0" fillId="0" borderId="1" xfId="18" applyNumberFormat="1" applyFont="1" applyBorder="1"/>
    <xf numFmtId="168" fontId="60" fillId="0" borderId="1" xfId="1" applyNumberFormat="1" applyFont="1" applyBorder="1"/>
    <xf numFmtId="165" fontId="2" fillId="2" borderId="21" xfId="2" applyFont="1" applyFill="1" applyBorder="1" applyAlignment="1">
      <alignment horizontal="center" wrapText="1"/>
    </xf>
    <xf numFmtId="165" fontId="2" fillId="2" borderId="23" xfId="2" applyFont="1" applyFill="1" applyBorder="1" applyAlignment="1">
      <alignment horizontal="center" wrapText="1"/>
    </xf>
    <xf numFmtId="165" fontId="2" fillId="2" borderId="6" xfId="2" applyFont="1" applyFill="1" applyBorder="1" applyAlignment="1">
      <alignment horizontal="center" wrapText="1"/>
    </xf>
    <xf numFmtId="165" fontId="2" fillId="2" borderId="25" xfId="2" applyFont="1" applyFill="1" applyBorder="1" applyAlignment="1">
      <alignment horizontal="center" wrapText="1"/>
    </xf>
    <xf numFmtId="165" fontId="2" fillId="2" borderId="22" xfId="2" applyFont="1" applyFill="1" applyBorder="1" applyAlignment="1">
      <alignment horizontal="center" wrapText="1"/>
    </xf>
    <xf numFmtId="165" fontId="2" fillId="2" borderId="4" xfId="2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166" fontId="2" fillId="2" borderId="21" xfId="2" applyNumberFormat="1" applyFont="1" applyFill="1" applyBorder="1" applyAlignment="1">
      <alignment horizontal="center" wrapText="1"/>
    </xf>
    <xf numFmtId="166" fontId="2" fillId="2" borderId="22" xfId="2" applyNumberFormat="1" applyFont="1" applyFill="1" applyBorder="1" applyAlignment="1">
      <alignment horizontal="center" wrapText="1"/>
    </xf>
    <xf numFmtId="166" fontId="2" fillId="2" borderId="6" xfId="2" applyNumberFormat="1" applyFont="1" applyFill="1" applyBorder="1" applyAlignment="1">
      <alignment horizontal="center" wrapText="1"/>
    </xf>
    <xf numFmtId="166" fontId="2" fillId="2" borderId="4" xfId="2" applyNumberFormat="1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40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/>
    </xf>
    <xf numFmtId="0" fontId="2" fillId="2" borderId="39" xfId="0" applyFont="1" applyFill="1" applyBorder="1" applyAlignment="1">
      <alignment horizontal="center"/>
    </xf>
    <xf numFmtId="0" fontId="12" fillId="19" borderId="1" xfId="0" applyFont="1" applyFill="1" applyBorder="1" applyAlignment="1">
      <alignment horizontal="center"/>
    </xf>
    <xf numFmtId="0" fontId="12" fillId="19" borderId="10" xfId="0" applyFont="1" applyFill="1" applyBorder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63" xfId="0" applyFill="1" applyBorder="1" applyAlignment="1">
      <alignment horizont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1" xfId="2" applyFont="1" applyFill="1" applyBorder="1" applyAlignment="1">
      <alignment horizontal="center" vertical="center" wrapText="1"/>
    </xf>
    <xf numFmtId="165" fontId="2" fillId="2" borderId="23" xfId="2" applyFont="1" applyFill="1" applyBorder="1" applyAlignment="1">
      <alignment horizontal="center" vertical="center" wrapText="1"/>
    </xf>
    <xf numFmtId="165" fontId="2" fillId="2" borderId="6" xfId="2" applyFont="1" applyFill="1" applyBorder="1" applyAlignment="1">
      <alignment horizontal="center" vertical="center" wrapText="1"/>
    </xf>
    <xf numFmtId="165" fontId="2" fillId="2" borderId="25" xfId="2" applyFont="1" applyFill="1" applyBorder="1" applyAlignment="1">
      <alignment horizontal="center" vertical="center" wrapText="1"/>
    </xf>
    <xf numFmtId="165" fontId="2" fillId="2" borderId="7" xfId="2" applyFont="1" applyFill="1" applyBorder="1" applyAlignment="1">
      <alignment horizontal="center" vertical="center" wrapText="1"/>
    </xf>
    <xf numFmtId="165" fontId="2" fillId="2" borderId="13" xfId="2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/>
    </xf>
    <xf numFmtId="0" fontId="24" fillId="0" borderId="33" xfId="0" applyFont="1" applyBorder="1" applyAlignment="1">
      <alignment horizontal="center"/>
    </xf>
    <xf numFmtId="0" fontId="24" fillId="0" borderId="32" xfId="0" applyFont="1" applyBorder="1" applyAlignment="1">
      <alignment horizontal="center"/>
    </xf>
    <xf numFmtId="0" fontId="40" fillId="0" borderId="51" xfId="0" applyFont="1" applyBorder="1" applyAlignment="1">
      <alignment horizontal="center" vertical="center" wrapText="1" readingOrder="1"/>
    </xf>
    <xf numFmtId="0" fontId="40" fillId="0" borderId="54" xfId="0" applyFont="1" applyBorder="1" applyAlignment="1">
      <alignment horizontal="center" vertical="center" wrapText="1" readingOrder="1"/>
    </xf>
    <xf numFmtId="0" fontId="40" fillId="0" borderId="52" xfId="0" applyFont="1" applyBorder="1" applyAlignment="1">
      <alignment horizontal="center" vertical="center" wrapText="1" readingOrder="1"/>
    </xf>
    <xf numFmtId="0" fontId="40" fillId="0" borderId="55" xfId="0" applyFont="1" applyBorder="1" applyAlignment="1">
      <alignment horizontal="center" vertical="center" wrapText="1" readingOrder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/>
    </xf>
    <xf numFmtId="0" fontId="19" fillId="2" borderId="24" xfId="0" applyFont="1" applyFill="1" applyBorder="1" applyAlignment="1">
      <alignment horizontal="center"/>
    </xf>
    <xf numFmtId="0" fontId="19" fillId="9" borderId="48" xfId="0" applyFont="1" applyFill="1" applyBorder="1" applyAlignment="1">
      <alignment horizontal="center"/>
    </xf>
    <xf numFmtId="0" fontId="19" fillId="9" borderId="44" xfId="0" applyFont="1" applyFill="1" applyBorder="1" applyAlignment="1">
      <alignment horizontal="center"/>
    </xf>
    <xf numFmtId="0" fontId="38" fillId="24" borderId="41" xfId="0" applyFont="1" applyFill="1" applyBorder="1" applyAlignment="1">
      <alignment horizontal="center" wrapText="1"/>
    </xf>
    <xf numFmtId="0" fontId="38" fillId="24" borderId="10" xfId="0" applyFont="1" applyFill="1" applyBorder="1" applyAlignment="1">
      <alignment horizontal="center" wrapText="1"/>
    </xf>
    <xf numFmtId="0" fontId="2" fillId="2" borderId="38" xfId="0" applyFont="1" applyFill="1" applyBorder="1" applyAlignment="1">
      <alignment horizontal="center" vertical="center" wrapText="1"/>
    </xf>
    <xf numFmtId="0" fontId="2" fillId="2" borderId="49" xfId="0" applyFont="1" applyFill="1" applyBorder="1" applyAlignment="1">
      <alignment horizontal="center" vertical="center" wrapText="1"/>
    </xf>
    <xf numFmtId="0" fontId="2" fillId="20" borderId="38" xfId="0" applyFont="1" applyFill="1" applyBorder="1" applyAlignment="1">
      <alignment horizontal="center" vertical="center" wrapText="1"/>
    </xf>
    <xf numFmtId="0" fontId="2" fillId="20" borderId="49" xfId="0" applyFont="1" applyFill="1" applyBorder="1" applyAlignment="1">
      <alignment horizontal="center" vertical="center" wrapText="1"/>
    </xf>
    <xf numFmtId="0" fontId="0" fillId="21" borderId="7" xfId="0" applyFill="1" applyBorder="1" applyAlignment="1">
      <alignment horizontal="center"/>
    </xf>
    <xf numFmtId="0" fontId="0" fillId="21" borderId="45" xfId="0" applyFill="1" applyBorder="1" applyAlignment="1">
      <alignment horizontal="center"/>
    </xf>
    <xf numFmtId="0" fontId="0" fillId="21" borderId="23" xfId="0" applyFill="1" applyBorder="1" applyAlignment="1">
      <alignment horizontal="center"/>
    </xf>
    <xf numFmtId="0" fontId="0" fillId="13" borderId="7" xfId="0" applyFill="1" applyBorder="1" applyAlignment="1">
      <alignment horizontal="center"/>
    </xf>
    <xf numFmtId="0" fontId="0" fillId="13" borderId="45" xfId="0" applyFill="1" applyBorder="1" applyAlignment="1">
      <alignment horizontal="center"/>
    </xf>
    <xf numFmtId="0" fontId="0" fillId="13" borderId="23" xfId="0" applyFill="1" applyBorder="1" applyAlignment="1">
      <alignment horizontal="center"/>
    </xf>
    <xf numFmtId="0" fontId="0" fillId="22" borderId="7" xfId="0" applyFill="1" applyBorder="1" applyAlignment="1">
      <alignment horizontal="center"/>
    </xf>
    <xf numFmtId="0" fontId="0" fillId="22" borderId="45" xfId="0" applyFill="1" applyBorder="1" applyAlignment="1">
      <alignment horizontal="center"/>
    </xf>
    <xf numFmtId="0" fontId="0" fillId="22" borderId="23" xfId="0" applyFill="1" applyBorder="1" applyAlignment="1">
      <alignment horizontal="center"/>
    </xf>
    <xf numFmtId="165" fontId="2" fillId="2" borderId="2" xfId="2" applyFont="1" applyFill="1" applyBorder="1" applyAlignment="1">
      <alignment horizontal="center" wrapText="1"/>
    </xf>
    <xf numFmtId="165" fontId="2" fillId="2" borderId="3" xfId="2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166" fontId="2" fillId="2" borderId="2" xfId="2" applyNumberFormat="1" applyFont="1" applyFill="1" applyBorder="1" applyAlignment="1">
      <alignment horizontal="center" wrapText="1"/>
    </xf>
    <xf numFmtId="166" fontId="2" fillId="2" borderId="3" xfId="2" applyNumberFormat="1" applyFont="1" applyFill="1" applyBorder="1" applyAlignment="1">
      <alignment horizontal="center" wrapText="1"/>
    </xf>
    <xf numFmtId="165" fontId="2" fillId="2" borderId="9" xfId="2" applyFont="1" applyFill="1" applyBorder="1" applyAlignment="1">
      <alignment horizontal="center" wrapText="1"/>
    </xf>
    <xf numFmtId="165" fontId="2" fillId="2" borderId="11" xfId="2" applyFont="1" applyFill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166" fontId="2" fillId="2" borderId="1" xfId="2" applyNumberFormat="1" applyFont="1" applyFill="1" applyBorder="1" applyAlignment="1">
      <alignment horizontal="center" wrapText="1"/>
    </xf>
    <xf numFmtId="165" fontId="2" fillId="2" borderId="1" xfId="2" applyFont="1" applyFill="1" applyBorder="1" applyAlignment="1">
      <alignment horizontal="center" wrapText="1"/>
    </xf>
  </cellXfs>
  <cellStyles count="19">
    <cellStyle name="40% - Énfasis2" xfId="10" builtinId="35"/>
    <cellStyle name="Bueno" xfId="7" builtinId="26"/>
    <cellStyle name="Encabezado 1" xfId="5" builtinId="16"/>
    <cellStyle name="Énfasis2" xfId="9" builtinId="33"/>
    <cellStyle name="Énfasis6" xfId="3" builtinId="49"/>
    <cellStyle name="Millares" xfId="2" builtinId="3"/>
    <cellStyle name="Millares 2" xfId="12" xr:uid="{00000000-0005-0000-0000-000006000000}"/>
    <cellStyle name="Millares 3" xfId="14" xr:uid="{00000000-0005-0000-0000-000007000000}"/>
    <cellStyle name="Millares 4" xfId="15" xr:uid="{00000000-0005-0000-0000-000008000000}"/>
    <cellStyle name="Millares 5" xfId="17" xr:uid="{00000000-0005-0000-0000-000009000000}"/>
    <cellStyle name="Moneda" xfId="18" builtinId="4"/>
    <cellStyle name="Normal" xfId="0" builtinId="0"/>
    <cellStyle name="Normal 2" xfId="11" xr:uid="{00000000-0005-0000-0000-00000C000000}"/>
    <cellStyle name="Normal 2 2" xfId="16" xr:uid="{00000000-0005-0000-0000-00000D000000}"/>
    <cellStyle name="Porcentaje" xfId="1" builtinId="5"/>
    <cellStyle name="Porcentaje 2" xfId="13" xr:uid="{00000000-0005-0000-0000-00000F000000}"/>
    <cellStyle name="Título" xfId="4" builtinId="15"/>
    <cellStyle name="Título 3" xfId="6" builtinId="18"/>
    <cellStyle name="Total" xfId="8" builtinId="25"/>
  </cellStyles>
  <dxfs count="2">
    <dxf>
      <numFmt numFmtId="165" formatCode="_(* #,##0.00_);_(* \(#,##0.00\);_(* &quot;-&quot;??_);_(@_)"/>
    </dxf>
    <dxf>
      <numFmt numFmtId="166" formatCode="_(* #,##0_);_(* \(#,##0\);_(* &quot;-&quot;??_);_(@_)"/>
    </dxf>
  </dxfs>
  <tableStyles count="0" defaultTableStyle="TableStyleMedium2" defaultPivotStyle="PivotStyleLight16"/>
  <colors>
    <mruColors>
      <color rgb="FFCCECFF"/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pivotCacheDefinition" Target="pivotCache/pivotCacheDefinition1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35806276464008"/>
          <c:y val="2.4944678876466408E-2"/>
          <c:w val="0.81782999937763301"/>
          <c:h val="0.81312538971302617"/>
        </c:manualLayout>
      </c:layout>
      <c:lineChart>
        <c:grouping val="standard"/>
        <c:varyColors val="0"/>
        <c:ser>
          <c:idx val="0"/>
          <c:order val="0"/>
          <c:tx>
            <c:strRef>
              <c:f>'Gráfico Mov. Superávit'!$B$5</c:f>
              <c:strCache>
                <c:ptCount val="1"/>
                <c:pt idx="0">
                  <c:v>INGRESOS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5B9BD5"/>
              </a:solidFill>
              <a:ln w="6350">
                <a:noFill/>
              </a:ln>
            </c:spPr>
          </c:marker>
          <c:cat>
            <c:numRef>
              <c:f>'Gráfico Mov. Superávit'!$C$4:$T$4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'Gráfico Mov. Superávit'!$C$5:$T$5</c:f>
              <c:numCache>
                <c:formatCode>_("$"* #,##0_);_("$"* \(#,##0\);_("$"* "-"??_);_(@_)</c:formatCode>
                <c:ptCount val="18"/>
                <c:pt idx="0">
                  <c:v>18.908861000000002</c:v>
                </c:pt>
                <c:pt idx="1">
                  <c:v>20.804608999999999</c:v>
                </c:pt>
                <c:pt idx="2">
                  <c:v>21.748336999999999</c:v>
                </c:pt>
                <c:pt idx="3">
                  <c:v>21.573523000000002</c:v>
                </c:pt>
                <c:pt idx="4">
                  <c:v>21.637419000000001</c:v>
                </c:pt>
                <c:pt idx="5">
                  <c:v>22.856759999999998</c:v>
                </c:pt>
                <c:pt idx="6">
                  <c:v>25.057993999999997</c:v>
                </c:pt>
                <c:pt idx="7">
                  <c:v>27.222894</c:v>
                </c:pt>
                <c:pt idx="8">
                  <c:v>28.765022000000002</c:v>
                </c:pt>
                <c:pt idx="9">
                  <c:v>31.739014999999998</c:v>
                </c:pt>
                <c:pt idx="10">
                  <c:v>35.126967</c:v>
                </c:pt>
                <c:pt idx="11">
                  <c:v>37.158465999999997</c:v>
                </c:pt>
                <c:pt idx="12">
                  <c:v>38.545999999999999</c:v>
                </c:pt>
                <c:pt idx="13">
                  <c:v>39.366</c:v>
                </c:pt>
                <c:pt idx="14">
                  <c:v>37.402000000000001</c:v>
                </c:pt>
                <c:pt idx="15">
                  <c:v>42.128</c:v>
                </c:pt>
                <c:pt idx="16">
                  <c:v>47.375</c:v>
                </c:pt>
                <c:pt idx="17">
                  <c:v>49.116147490562291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A3-489F-BB06-A7C615FD7BA1}"/>
            </c:ext>
          </c:extLst>
        </c:ser>
        <c:ser>
          <c:idx val="1"/>
          <c:order val="1"/>
          <c:tx>
            <c:strRef>
              <c:f>'Gráfico Mov. Superávit'!$B$6</c:f>
              <c:strCache>
                <c:ptCount val="1"/>
                <c:pt idx="0">
                  <c:v>GASTOS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rgbClr val="ED7D31"/>
              </a:solidFill>
              <a:ln w="6350">
                <a:noFill/>
              </a:ln>
            </c:spPr>
          </c:marker>
          <c:cat>
            <c:numRef>
              <c:f>'Gráfico Mov. Superávit'!$C$4:$T$4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'Gráfico Mov. Superávit'!$C$6:$T$6</c:f>
              <c:numCache>
                <c:formatCode>_("$"* #,##0_);_("$"* \(#,##0\);_("$"* "-"??_);_(@_)</c:formatCode>
                <c:ptCount val="18"/>
                <c:pt idx="0">
                  <c:v>20.346278999999999</c:v>
                </c:pt>
                <c:pt idx="1">
                  <c:v>19.074514130000001</c:v>
                </c:pt>
                <c:pt idx="2">
                  <c:v>18.507596000000003</c:v>
                </c:pt>
                <c:pt idx="3">
                  <c:v>25.606895000000002</c:v>
                </c:pt>
                <c:pt idx="4">
                  <c:v>25.546302000000001</c:v>
                </c:pt>
                <c:pt idx="5">
                  <c:v>21.614194999999999</c:v>
                </c:pt>
                <c:pt idx="6">
                  <c:v>19.322455000000001</c:v>
                </c:pt>
                <c:pt idx="7">
                  <c:v>27.570371999999999</c:v>
                </c:pt>
                <c:pt idx="8">
                  <c:v>28.216185000000003</c:v>
                </c:pt>
                <c:pt idx="9">
                  <c:v>35.708803000000003</c:v>
                </c:pt>
                <c:pt idx="10">
                  <c:v>42.514161999999999</c:v>
                </c:pt>
                <c:pt idx="11">
                  <c:v>36.203510390000005</c:v>
                </c:pt>
                <c:pt idx="12">
                  <c:v>42.006999999999998</c:v>
                </c:pt>
                <c:pt idx="13">
                  <c:v>43.784999999999997</c:v>
                </c:pt>
                <c:pt idx="14">
                  <c:v>21.716999999999999</c:v>
                </c:pt>
                <c:pt idx="15">
                  <c:v>37.036999999999999</c:v>
                </c:pt>
                <c:pt idx="16">
                  <c:v>45.155999999999999</c:v>
                </c:pt>
                <c:pt idx="17">
                  <c:v>58.540514999999999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3-489F-BB06-A7C615FD7BA1}"/>
            </c:ext>
          </c:extLst>
        </c:ser>
        <c:ser>
          <c:idx val="2"/>
          <c:order val="2"/>
          <c:tx>
            <c:strRef>
              <c:f>'Gráfico Mov. Superávit'!$B$7</c:f>
              <c:strCache>
                <c:ptCount val="1"/>
                <c:pt idx="0">
                  <c:v>SUPERÁVIT/DÉFICIT</c:v>
                </c:pt>
              </c:strCache>
            </c:strRef>
          </c:tx>
          <c:spPr>
            <a:ln w="3810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3"/>
              </a:solidFill>
              <a:ln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A3-489F-BB06-A7C615FD7BA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A3-489F-BB06-A7C615FD7BA1}"/>
                </c:ext>
              </c:extLst>
            </c:dLbl>
            <c:dLbl>
              <c:idx val="3"/>
              <c:layout>
                <c:manualLayout>
                  <c:x val="-3.0241656183509606E-2"/>
                  <c:y val="-4.22035383218902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A3-489F-BB06-A7C615FD7BA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A3-489F-BB06-A7C615FD7BA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8A3-489F-BB06-A7C615FD7BA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8A3-489F-BB06-A7C615FD7BA1}"/>
                </c:ext>
              </c:extLst>
            </c:dLbl>
            <c:dLbl>
              <c:idx val="14"/>
              <c:layout>
                <c:manualLayout>
                  <c:x val="6.4322703733987459E-4"/>
                  <c:y val="-1.46500195762823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64-46F5-B891-9B171199A09F}"/>
                </c:ext>
              </c:extLst>
            </c:dLbl>
            <c:dLbl>
              <c:idx val="15"/>
              <c:layout>
                <c:manualLayout>
                  <c:x val="-1.1349141455437448E-2"/>
                  <c:y val="-3.67494670900943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8A3-489F-BB06-A7C615FD7BA1}"/>
                </c:ext>
              </c:extLst>
            </c:dLbl>
            <c:dLbl>
              <c:idx val="16"/>
              <c:layout>
                <c:manualLayout>
                  <c:x val="-1.1842485347549054E-2"/>
                  <c:y val="-3.3066225837792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64-46F5-B891-9B171199A09F}"/>
                </c:ext>
              </c:extLst>
            </c:dLbl>
            <c:dLbl>
              <c:idx val="17"/>
              <c:layout>
                <c:manualLayout>
                  <c:x val="6.6911750503795362E-3"/>
                  <c:y val="8.2945432925721598E-5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64-46F5-B891-9B171199A09F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>
                  <a:defRPr/>
                </a:pPr>
                <a:endParaRPr lang="es-SV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'Gráfico Mov. Superávit'!$C$4:$T$4</c:f>
              <c:numCache>
                <c:formatCode>General</c:formatCode>
                <c:ptCount val="1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</c:numCache>
            </c:numRef>
          </c:cat>
          <c:val>
            <c:numRef>
              <c:f>'Gráfico Mov. Superávit'!$C$7:$T$7</c:f>
              <c:numCache>
                <c:formatCode>#,##0.0</c:formatCode>
                <c:ptCount val="18"/>
                <c:pt idx="0">
                  <c:v>-1.4374179999999999</c:v>
                </c:pt>
                <c:pt idx="1">
                  <c:v>1.730094870000001</c:v>
                </c:pt>
                <c:pt idx="2">
                  <c:v>3.2407409999999999</c:v>
                </c:pt>
                <c:pt idx="3">
                  <c:v>-4.033372</c:v>
                </c:pt>
                <c:pt idx="4">
                  <c:v>-3.9088829999999999</c:v>
                </c:pt>
                <c:pt idx="5">
                  <c:v>1.2425650000000001</c:v>
                </c:pt>
                <c:pt idx="6">
                  <c:v>5.7355390000000002</c:v>
                </c:pt>
                <c:pt idx="7">
                  <c:v>-0.34747800000000001</c:v>
                </c:pt>
                <c:pt idx="8">
                  <c:v>0.54883700000000002</c:v>
                </c:pt>
                <c:pt idx="9">
                  <c:v>-3.9697879999999999</c:v>
                </c:pt>
                <c:pt idx="10">
                  <c:v>-7.3871950000000002</c:v>
                </c:pt>
                <c:pt idx="11">
                  <c:v>0.95495560999999196</c:v>
                </c:pt>
                <c:pt idx="12">
                  <c:v>-3.4609999999999999</c:v>
                </c:pt>
                <c:pt idx="13">
                  <c:v>-4.4189999999999996</c:v>
                </c:pt>
                <c:pt idx="14">
                  <c:v>15.685</c:v>
                </c:pt>
                <c:pt idx="15">
                  <c:v>5.0910000000000002</c:v>
                </c:pt>
                <c:pt idx="16">
                  <c:v>2.7</c:v>
                </c:pt>
                <c:pt idx="17">
                  <c:v>-9.5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38A3-489F-BB06-A7C615FD7B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210992"/>
        <c:axId val="1442212080"/>
      </c:lineChart>
      <c:catAx>
        <c:axId val="144221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SV"/>
          </a:p>
        </c:txPr>
        <c:crossAx val="1442212080"/>
        <c:crosses val="autoZero"/>
        <c:auto val="1"/>
        <c:lblAlgn val="ctr"/>
        <c:lblOffset val="100"/>
        <c:noMultiLvlLbl val="0"/>
      </c:catAx>
      <c:valAx>
        <c:axId val="1442212080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US$(Miles)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(&quot;$&quot;* #,##0_);_(&quot;$&quot;* \(#,##0\);_(&quot;$&quot;* &quot;-&quot;??_);_(@_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vert="horz"/>
          <a:lstStyle/>
          <a:p>
            <a:pPr>
              <a:defRPr/>
            </a:pPr>
            <a:endParaRPr lang="es-SV"/>
          </a:p>
        </c:txPr>
        <c:crossAx val="144221099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</c:dTable>
      <c:spPr>
        <a:gradFill flip="none" rotWithShape="1">
          <a:gsLst>
            <a:gs pos="0">
              <a:schemeClr val="accent3">
                <a:lumMod val="0"/>
                <a:lumOff val="100000"/>
              </a:schemeClr>
            </a:gs>
            <a:gs pos="35000">
              <a:schemeClr val="accent3">
                <a:lumMod val="0"/>
                <a:lumOff val="100000"/>
              </a:schemeClr>
            </a:gs>
            <a:gs pos="100000">
              <a:schemeClr val="accent3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4">
            <a:lumMod val="5000"/>
            <a:lumOff val="95000"/>
          </a:schemeClr>
        </a:gs>
        <a:gs pos="74000">
          <a:schemeClr val="accent4">
            <a:lumMod val="45000"/>
            <a:lumOff val="55000"/>
          </a:schemeClr>
        </a:gs>
        <a:gs pos="83000">
          <a:schemeClr val="accent4">
            <a:lumMod val="45000"/>
            <a:lumOff val="55000"/>
          </a:schemeClr>
        </a:gs>
        <a:gs pos="100000">
          <a:schemeClr val="accent4">
            <a:lumMod val="30000"/>
            <a:lumOff val="70000"/>
          </a:schemeClr>
        </a:gs>
      </a:gsLst>
      <a:lin ang="5400000" scaled="1"/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s-SV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[Gráfico en Microsoft PowerPoint]Tabla Cierres!Tabla dinámica3</c:name>
    <c:fmtId val="8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layout>
            <c:manualLayout>
              <c:x val="3.389154704944175E-2"/>
              <c:y val="-3.6196117143797363E-2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layout>
            <c:manualLayout>
              <c:x val="0"/>
              <c:y val="-3.2905561039815852E-2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dLbl>
          <c:idx val="0"/>
          <c:layout>
            <c:manualLayout>
              <c:x val="2.5917065390749564E-2"/>
              <c:y val="-1.6452780519907863E-2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dLbl>
          <c:idx val="0"/>
          <c:layout>
            <c:manualLayout>
              <c:x val="2.3923444976076555E-2"/>
              <c:y val="-3.9486673247778936E-2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dLbl>
          <c:idx val="0"/>
          <c:layout>
            <c:manualLayout>
              <c:x val="0"/>
              <c:y val="-5.2648897663705105E-2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dLbl>
          <c:idx val="0"/>
          <c:layout>
            <c:manualLayout>
              <c:x val="4.3859649122807015E-2"/>
              <c:y val="-3.290556103981573E-3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dLbl>
          <c:idx val="0"/>
          <c:layout>
            <c:manualLayout>
              <c:x val="6.1802232854864289E-2"/>
              <c:y val="0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dLbl>
          <c:idx val="0"/>
          <c:layout>
            <c:manualLayout>
              <c:x val="1.7942583732057416E-2"/>
              <c:y val="-1.9743336623889437E-2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layout>
            <c:manualLayout>
              <c:x val="2.1929824561403508E-2"/>
              <c:y val="6.5811122079631459E-3"/>
            </c:manualLayout>
          </c:layout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2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r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3"/>
              </a:solidFill>
              <a:round/>
            </a:ln>
            <a:effectLst/>
          </c:spPr>
        </c:marker>
        <c:dLbl>
          <c:idx val="0"/>
          <c:numFmt formatCode="#,##0.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b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3"/>
              </a:solidFill>
              <a:round/>
            </a:ln>
            <a:effectLst/>
          </c:spPr>
        </c:marker>
      </c:pivotFmt>
      <c:pivotFmt>
        <c:idx val="26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3"/>
              </a:solidFill>
              <a:round/>
            </a:ln>
            <a:effectLst/>
          </c:spPr>
        </c:marker>
      </c:pivotFmt>
      <c:pivotFmt>
        <c:idx val="27"/>
        <c:spPr>
          <a:ln w="41275" cap="rnd">
            <a:solidFill>
              <a:schemeClr val="accent3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2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ln w="41275" cap="rnd">
            <a:solidFill>
              <a:schemeClr val="accent3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2"/>
              </a:solidFill>
              <a:round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ln w="41275" cap="rnd">
            <a:solidFill>
              <a:schemeClr val="accent3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2"/>
              </a:solidFill>
              <a:round/>
            </a:ln>
            <a:effectLst/>
          </c:spPr>
        </c:marker>
      </c:pivotFmt>
      <c:pivotFmt>
        <c:idx val="30"/>
        <c:spPr>
          <a:ln w="41275" cap="rnd">
            <a:solidFill>
              <a:schemeClr val="accent3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2"/>
              </a:solidFill>
              <a:round/>
            </a:ln>
            <a:effectLst/>
          </c:spPr>
        </c:marker>
      </c:pivotFmt>
      <c:pivotFmt>
        <c:idx val="31"/>
        <c:spPr>
          <a:ln w="41275" cap="rnd">
            <a:solidFill>
              <a:schemeClr val="accent2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</c:pivotFmt>
      <c:pivotFmt>
        <c:idx val="32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3"/>
              </a:solidFill>
              <a:round/>
            </a:ln>
            <a:effectLst/>
          </c:spPr>
        </c:marker>
      </c:pivotFmt>
      <c:pivotFmt>
        <c:idx val="33"/>
        <c:spPr>
          <a:ln w="41275" cap="rnd">
            <a:solidFill>
              <a:schemeClr val="accent3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3"/>
              </a:solidFill>
              <a:round/>
            </a:ln>
            <a:effectLst/>
          </c:spPr>
        </c:marker>
      </c:pivotFmt>
      <c:pivotFmt>
        <c:idx val="34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2"/>
              </a:solidFill>
              <a:round/>
            </a:ln>
            <a:effectLst/>
          </c:spPr>
        </c:marker>
      </c:pivotFmt>
      <c:pivotFmt>
        <c:idx val="35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</c:pivotFmt>
      <c:pivotFmt>
        <c:idx val="36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</c:pivotFmt>
      <c:pivotFmt>
        <c:idx val="37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</c:pivotFmt>
      <c:pivotFmt>
        <c:idx val="38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</c:pivotFmt>
      <c:pivotFmt>
        <c:idx val="39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3"/>
              </a:solidFill>
              <a:round/>
            </a:ln>
            <a:effectLst/>
          </c:spPr>
        </c:marker>
      </c:pivotFmt>
      <c:pivotFmt>
        <c:idx val="40"/>
        <c:spPr>
          <a:solidFill>
            <a:schemeClr val="accent1"/>
          </a:solidFill>
          <a:ln w="2222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  <c:dLbl>
          <c:idx val="0"/>
          <c:numFmt formatCode="#,##0.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ln w="41275" cap="rnd">
            <a:solidFill>
              <a:schemeClr val="accent3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3"/>
              </a:solidFill>
              <a:round/>
            </a:ln>
            <a:effectLst/>
          </c:spPr>
        </c:marker>
      </c:pivotFmt>
      <c:pivotFmt>
        <c:idx val="42"/>
        <c:spPr>
          <a:ln w="41275" cap="rnd">
            <a:solidFill>
              <a:schemeClr val="accent2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2"/>
              </a:solidFill>
              <a:round/>
            </a:ln>
            <a:effectLst/>
          </c:spPr>
        </c:marker>
      </c:pivotFmt>
      <c:pivotFmt>
        <c:idx val="43"/>
        <c:spPr>
          <a:solidFill>
            <a:schemeClr val="accent1"/>
          </a:solidFill>
          <a:ln w="2222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  <c:dLbl>
          <c:idx val="0"/>
          <c:layout>
            <c:manualLayout>
              <c:x val="-3.1779536403779347E-2"/>
              <c:y val="3.7938326429575391E-2"/>
            </c:manualLayout>
          </c:layout>
          <c:numFmt formatCode="#,##0.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 w="2222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  <c:dLbl>
          <c:idx val="0"/>
          <c:layout>
            <c:manualLayout>
              <c:x val="-3.7395936291451354E-2"/>
              <c:y val="3.477876876764812E-2"/>
            </c:manualLayout>
          </c:layout>
          <c:numFmt formatCode="#,##0.0" sourceLinked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ln w="41275" cap="rnd">
            <a:solidFill>
              <a:schemeClr val="accent3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2"/>
              </a:solidFill>
              <a:round/>
            </a:ln>
            <a:effectLst/>
          </c:spPr>
        </c:marker>
        <c:dLbl>
          <c:idx val="0"/>
          <c:layout>
            <c:manualLayout>
              <c:x val="-5.6163998876720706E-3"/>
              <c:y val="-9.4786729857819912E-3"/>
            </c:manualLayout>
          </c:layout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SV"/>
            </a:p>
          </c:txPr>
          <c:dLblPos val="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</c:pivotFmt>
      <c:pivotFmt>
        <c:idx val="47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1"/>
              </a:solidFill>
              <a:round/>
            </a:ln>
            <a:effectLst/>
          </c:spPr>
        </c:marker>
      </c:pivotFmt>
      <c:pivotFmt>
        <c:idx val="48"/>
        <c:spPr>
          <a:ln w="412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lt1"/>
            </a:solidFill>
            <a:ln w="15875">
              <a:solidFill>
                <a:schemeClr val="accent3"/>
              </a:solidFill>
              <a:round/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'Tabla Cierres'!$B$3</c:f>
              <c:strCache>
                <c:ptCount val="1"/>
                <c:pt idx="0">
                  <c:v>  Presupuesto FP</c:v>
                </c:pt>
              </c:strCache>
            </c:strRef>
          </c:tx>
          <c:spPr>
            <a:ln w="412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1"/>
                </a:solidFill>
                <a:round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1"/>
                  </a:solidFill>
                  <a:round/>
                </a:ln>
                <a:effectLst/>
              </c:spPr>
            </c:marker>
            <c:bubble3D val="0"/>
            <c:spPr>
              <a:ln w="412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D861-4B57-95BF-9ECBCAE88CF8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1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D861-4B57-95BF-9ECBCAE88CF8}"/>
              </c:ext>
            </c:extLst>
          </c:dPt>
          <c:dPt>
            <c:idx val="7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1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D861-4B57-95BF-9ECBCAE88C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SV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Cierres'!$A$4:$A$12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strCache>
            </c:strRef>
          </c:cat>
          <c:val>
            <c:numRef>
              <c:f>'Tabla Cierres'!$B$4:$B$12</c:f>
              <c:numCache>
                <c:formatCode>_(* #,##0_);_(* \(#,##0\);_(* "-"??_);_(@_)</c:formatCode>
                <c:ptCount val="8"/>
                <c:pt idx="0">
                  <c:v>20.768999999999998</c:v>
                </c:pt>
                <c:pt idx="1">
                  <c:v>28.376000000000001</c:v>
                </c:pt>
                <c:pt idx="2">
                  <c:v>30.117999999999999</c:v>
                </c:pt>
                <c:pt idx="3">
                  <c:v>36.460099999999997</c:v>
                </c:pt>
                <c:pt idx="4">
                  <c:v>39.302</c:v>
                </c:pt>
                <c:pt idx="5">
                  <c:v>41.1</c:v>
                </c:pt>
                <c:pt idx="6">
                  <c:v>41.6</c:v>
                </c:pt>
                <c:pt idx="7">
                  <c:v>41.3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61-4B57-95BF-9ECBCAE88CF8}"/>
            </c:ext>
          </c:extLst>
        </c:ser>
        <c:ser>
          <c:idx val="1"/>
          <c:order val="1"/>
          <c:tx>
            <c:strRef>
              <c:f>'Tabla Cierres'!$C$3</c:f>
              <c:strCache>
                <c:ptCount val="1"/>
                <c:pt idx="0">
                  <c:v>  Proyección de Cierre FP</c:v>
                </c:pt>
              </c:strCache>
            </c:strRef>
          </c:tx>
          <c:spPr>
            <a:ln w="412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2"/>
                </a:solidFill>
                <a:round/>
              </a:ln>
              <a:effectLst/>
            </c:spPr>
          </c:marker>
          <c:dPt>
            <c:idx val="0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D861-4B57-95BF-9ECBCAE88CF8}"/>
              </c:ext>
            </c:extLst>
          </c:dPt>
          <c:dPt>
            <c:idx val="1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41275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D861-4B57-95BF-9ECBCAE88CF8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41275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D861-4B57-95BF-9ECBCAE88CF8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41275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D861-4B57-95BF-9ECBCAE88CF8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41275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D861-4B57-95BF-9ECBCAE88CF8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2"/>
                  </a:solidFill>
                  <a:round/>
                </a:ln>
                <a:effectLst/>
              </c:spPr>
            </c:marker>
            <c:bubble3D val="0"/>
            <c:spPr>
              <a:ln w="41275" cap="rnd">
                <a:solidFill>
                  <a:schemeClr val="accent3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D861-4B57-95BF-9ECBCAE88CF8}"/>
              </c:ext>
            </c:extLst>
          </c:dPt>
          <c:dLbls>
            <c:dLbl>
              <c:idx val="3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861-4B57-95BF-9ECBCAE88CF8}"/>
                </c:ext>
              </c:extLst>
            </c:dLbl>
            <c:dLbl>
              <c:idx val="4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861-4B57-95BF-9ECBCAE88CF8}"/>
                </c:ext>
              </c:extLst>
            </c:dLbl>
            <c:dLbl>
              <c:idx val="6"/>
              <c:layout>
                <c:manualLayout>
                  <c:x val="-5.6163998876720706E-3"/>
                  <c:y val="-9.478672985781991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861-4B57-95BF-9ECBCAE88C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SV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Cierres'!$A$4:$A$12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strCache>
            </c:strRef>
          </c:cat>
          <c:val>
            <c:numRef>
              <c:f>'Tabla Cierres'!$C$4:$C$12</c:f>
              <c:numCache>
                <c:formatCode>_(* #,##0_);_(* \(#,##0\);_(* "-"??_);_(@_)</c:formatCode>
                <c:ptCount val="8"/>
                <c:pt idx="0">
                  <c:v>23.295999999999999</c:v>
                </c:pt>
                <c:pt idx="1">
                  <c:v>25.57</c:v>
                </c:pt>
                <c:pt idx="2">
                  <c:v>27.873000000000001</c:v>
                </c:pt>
                <c:pt idx="3">
                  <c:v>32.51</c:v>
                </c:pt>
                <c:pt idx="4">
                  <c:v>37.148000000000003</c:v>
                </c:pt>
                <c:pt idx="5">
                  <c:v>35.700000000000003</c:v>
                </c:pt>
                <c:pt idx="6">
                  <c:v>38.76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D861-4B57-95BF-9ECBCAE88CF8}"/>
            </c:ext>
          </c:extLst>
        </c:ser>
        <c:ser>
          <c:idx val="2"/>
          <c:order val="2"/>
          <c:tx>
            <c:strRef>
              <c:f>'Tabla Cierres'!$D$3</c:f>
              <c:strCache>
                <c:ptCount val="1"/>
                <c:pt idx="0">
                  <c:v>   Ejecutado FP</c:v>
                </c:pt>
              </c:strCache>
            </c:strRef>
          </c:tx>
          <c:spPr>
            <a:ln w="412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lt1"/>
              </a:solidFill>
              <a:ln w="15875">
                <a:solidFill>
                  <a:schemeClr val="accent3"/>
                </a:solidFill>
                <a:round/>
              </a:ln>
              <a:effectLst/>
            </c:spPr>
          </c:marker>
          <c:dPt>
            <c:idx val="1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3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D861-4B57-95BF-9ECBCAE88CF8}"/>
              </c:ext>
            </c:extLst>
          </c:dPt>
          <c:dPt>
            <c:idx val="2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3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D861-4B57-95BF-9ECBCAE88CF8}"/>
              </c:ext>
            </c:extLst>
          </c:dPt>
          <c:dPt>
            <c:idx val="3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3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D861-4B57-95BF-9ECBCAE88CF8}"/>
              </c:ext>
            </c:extLst>
          </c:dPt>
          <c:dPt>
            <c:idx val="4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3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D861-4B57-95BF-9ECBCAE88CF8}"/>
              </c:ext>
            </c:extLst>
          </c:dPt>
          <c:dPt>
            <c:idx val="6"/>
            <c:marker>
              <c:symbol val="circle"/>
              <c:size val="6"/>
              <c:spPr>
                <a:solidFill>
                  <a:schemeClr val="lt1"/>
                </a:solidFill>
                <a:ln w="15875">
                  <a:solidFill>
                    <a:schemeClr val="accent3"/>
                  </a:solidFill>
                  <a:round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D861-4B57-95BF-9ECBCAE88CF8}"/>
              </c:ext>
            </c:extLst>
          </c:dPt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SV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'Tabla Cierres'!$A$4:$A$12</c:f>
              <c:strCache>
                <c:ptCount val="8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</c:strCache>
            </c:strRef>
          </c:cat>
          <c:val>
            <c:numRef>
              <c:f>'Tabla Cierres'!$D$4:$D$12</c:f>
              <c:numCache>
                <c:formatCode>_(* #,##0_);_(* \(#,##0\);_(* "-"??_);_(@_)</c:formatCode>
                <c:ptCount val="8"/>
                <c:pt idx="0">
                  <c:v>16.037987000000001</c:v>
                </c:pt>
                <c:pt idx="1">
                  <c:v>24.231425999999999</c:v>
                </c:pt>
                <c:pt idx="2">
                  <c:v>24.972000000000001</c:v>
                </c:pt>
                <c:pt idx="3">
                  <c:v>32.091000000000001</c:v>
                </c:pt>
                <c:pt idx="4">
                  <c:v>37.148000000000003</c:v>
                </c:pt>
                <c:pt idx="5">
                  <c:v>32.4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D861-4B57-95BF-9ECBCAE88CF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442218608"/>
        <c:axId val="1442219152"/>
      </c:lineChart>
      <c:catAx>
        <c:axId val="144221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SV"/>
          </a:p>
        </c:txPr>
        <c:crossAx val="1442219152"/>
        <c:crosses val="autoZero"/>
        <c:auto val="1"/>
        <c:lblAlgn val="ctr"/>
        <c:lblOffset val="100"/>
        <c:noMultiLvlLbl val="0"/>
      </c:catAx>
      <c:valAx>
        <c:axId val="144221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SV"/>
          </a:p>
        </c:txPr>
        <c:crossAx val="144221860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SV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SV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SV"/>
              <a:t>Centro de Formación Profesional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SV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'Centros de Formación'!$B$14</c:f>
              <c:strCache>
                <c:ptCount val="1"/>
                <c:pt idx="0">
                  <c:v>Formación Continua Centros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'Centros de Formación'!$A$15:$A$17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'Centros de Formación'!$B$15:$B$17</c:f>
              <c:numCache>
                <c:formatCode>General</c:formatCode>
                <c:ptCount val="3"/>
                <c:pt idx="0">
                  <c:v>68</c:v>
                </c:pt>
                <c:pt idx="1">
                  <c:v>78</c:v>
                </c:pt>
                <c:pt idx="2">
                  <c:v>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11-4DF0-9309-F177D12F55E3}"/>
            </c:ext>
          </c:extLst>
        </c:ser>
        <c:ser>
          <c:idx val="1"/>
          <c:order val="1"/>
          <c:tx>
            <c:strRef>
              <c:f>'Centros de Formación'!$C$14</c:f>
              <c:strCache>
                <c:ptCount val="1"/>
                <c:pt idx="0">
                  <c:v>Formación Inicial Centros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'Centros de Formación'!$A$15:$A$17</c:f>
              <c:numCache>
                <c:formatCode>General</c:formatCode>
                <c:ptCount val="3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</c:numCache>
            </c:numRef>
          </c:cat>
          <c:val>
            <c:numRef>
              <c:f>'Centros de Formación'!$C$15:$C$17</c:f>
              <c:numCache>
                <c:formatCode>General</c:formatCode>
                <c:ptCount val="3"/>
                <c:pt idx="0">
                  <c:v>45</c:v>
                </c:pt>
                <c:pt idx="1">
                  <c:v>47</c:v>
                </c:pt>
                <c:pt idx="2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11-4DF0-9309-F177D12F5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2212624"/>
        <c:axId val="1442213168"/>
      </c:barChart>
      <c:catAx>
        <c:axId val="144221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SV"/>
          </a:p>
        </c:txPr>
        <c:crossAx val="1442213168"/>
        <c:crosses val="autoZero"/>
        <c:auto val="1"/>
        <c:lblAlgn val="ctr"/>
        <c:lblOffset val="100"/>
        <c:noMultiLvlLbl val="0"/>
      </c:catAx>
      <c:valAx>
        <c:axId val="1442213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SV"/>
          </a:p>
        </c:txPr>
        <c:crossAx val="144221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S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S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pin" dx="20" fmlaLink="$F$22" max="10" min="1" page="10" val="3"/>
</file>

<file path=xl/ctrlProps/ctrlProp2.xml><?xml version="1.0" encoding="utf-8"?>
<formControlPr xmlns="http://schemas.microsoft.com/office/spreadsheetml/2009/9/main" objectType="Spin" dx="20" fmlaLink="$F$23" max="15" min="1" page="10" val="12"/>
</file>

<file path=xl/ctrlProps/ctrlProp3.xml><?xml version="1.0" encoding="utf-8"?>
<formControlPr xmlns="http://schemas.microsoft.com/office/spreadsheetml/2009/9/main" objectType="Spin" dx="20" fmlaLink="$F$24" max="10" min="1" page="10" val="2"/>
</file>

<file path=xl/ctrlProps/ctrlProp4.xml><?xml version="1.0" encoding="utf-8"?>
<formControlPr xmlns="http://schemas.microsoft.com/office/spreadsheetml/2009/9/main" objectType="Spin" dx="20" fmlaLink="$F$25" max="10" min="1" page="10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76200</xdr:colOff>
          <xdr:row>21</xdr:row>
          <xdr:rowOff>57150</xdr:rowOff>
        </xdr:from>
        <xdr:to>
          <xdr:col>4</xdr:col>
          <xdr:colOff>685800</xdr:colOff>
          <xdr:row>21</xdr:row>
          <xdr:rowOff>352425</xdr:rowOff>
        </xdr:to>
        <xdr:sp macro="" textlink="">
          <xdr:nvSpPr>
            <xdr:cNvPr id="34817" name="Spinner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8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22</xdr:row>
          <xdr:rowOff>19050</xdr:rowOff>
        </xdr:from>
        <xdr:to>
          <xdr:col>4</xdr:col>
          <xdr:colOff>704850</xdr:colOff>
          <xdr:row>22</xdr:row>
          <xdr:rowOff>304800</xdr:rowOff>
        </xdr:to>
        <xdr:sp macro="" textlink="">
          <xdr:nvSpPr>
            <xdr:cNvPr id="34818" name="Spinner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8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104775</xdr:colOff>
          <xdr:row>23</xdr:row>
          <xdr:rowOff>85725</xdr:rowOff>
        </xdr:from>
        <xdr:to>
          <xdr:col>4</xdr:col>
          <xdr:colOff>685800</xdr:colOff>
          <xdr:row>24</xdr:row>
          <xdr:rowOff>0</xdr:rowOff>
        </xdr:to>
        <xdr:sp macro="" textlink="">
          <xdr:nvSpPr>
            <xdr:cNvPr id="34819" name="Spinner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8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24</xdr:row>
          <xdr:rowOff>95250</xdr:rowOff>
        </xdr:from>
        <xdr:to>
          <xdr:col>4</xdr:col>
          <xdr:colOff>695325</xdr:colOff>
          <xdr:row>24</xdr:row>
          <xdr:rowOff>371475</xdr:rowOff>
        </xdr:to>
        <xdr:sp macro="" textlink="">
          <xdr:nvSpPr>
            <xdr:cNvPr id="34820" name="Spinner 4" hidden="1">
              <a:extLst>
                <a:ext uri="{63B3BB69-23CF-44E3-9099-C40C66FF867C}">
                  <a14:compatExt spid="_x0000_s34820"/>
                </a:ext>
                <a:ext uri="{FF2B5EF4-FFF2-40B4-BE49-F238E27FC236}">
                  <a16:creationId xmlns:a16="http://schemas.microsoft.com/office/drawing/2014/main" id="{00000000-0008-0000-0800-000004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11</xdr:row>
      <xdr:rowOff>171450</xdr:rowOff>
    </xdr:from>
    <xdr:to>
      <xdr:col>9</xdr:col>
      <xdr:colOff>914400</xdr:colOff>
      <xdr:row>48</xdr:row>
      <xdr:rowOff>19050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290989</xdr:colOff>
      <xdr:row>32</xdr:row>
      <xdr:rowOff>159544</xdr:rowOff>
    </xdr:from>
    <xdr:ext cx="902876" cy="280205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7458552" y="6255544"/>
          <a:ext cx="902876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SV" sz="1200" b="1"/>
            <a:t>SUPERÁVIT</a:t>
          </a:r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0.17017</cdr:x>
      <cdr:y>0.65711</cdr:y>
    </cdr:from>
    <cdr:to>
      <cdr:x>0.98896</cdr:x>
      <cdr:y>0.65814</cdr:y>
    </cdr:to>
    <cdr:cxnSp macro="">
      <cdr:nvCxnSpPr>
        <cdr:cNvPr id="14" name="Conector recto 13">
          <a:extLst xmlns:a="http://schemas.openxmlformats.org/drawingml/2006/main">
            <a:ext uri="{FF2B5EF4-FFF2-40B4-BE49-F238E27FC236}">
              <a16:creationId xmlns:a16="http://schemas.microsoft.com/office/drawing/2014/main" id="{1A4D869D-E660-46F2-823A-41EBF0DB7A00}"/>
            </a:ext>
          </a:extLst>
        </cdr:cNvPr>
        <cdr:cNvCxnSpPr/>
      </cdr:nvCxnSpPr>
      <cdr:spPr>
        <a:xfrm xmlns:a="http://schemas.openxmlformats.org/drawingml/2006/main" flipV="1">
          <a:off x="1982323" y="4531519"/>
          <a:ext cx="9538164" cy="708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0.51111</cdr:x>
      <cdr:y>0.70767</cdr:y>
    </cdr:from>
    <cdr:to>
      <cdr:x>0.6219</cdr:x>
      <cdr:y>0.76584</cdr:y>
    </cdr:to>
    <cdr:sp macro="" textlink="">
      <cdr:nvSpPr>
        <cdr:cNvPr id="2" name="CuadroTexto 1"/>
        <cdr:cNvSpPr txBox="1"/>
      </cdr:nvSpPr>
      <cdr:spPr>
        <a:xfrm xmlns:a="http://schemas.openxmlformats.org/drawingml/2006/main">
          <a:off x="5953978" y="4880193"/>
          <a:ext cx="1290601" cy="4011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SV" sz="1400" b="1"/>
            <a:t>DÉFICIT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12</xdr:row>
      <xdr:rowOff>102870</xdr:rowOff>
    </xdr:from>
    <xdr:to>
      <xdr:col>4</xdr:col>
      <xdr:colOff>944880</xdr:colOff>
      <xdr:row>33</xdr:row>
      <xdr:rowOff>121920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1546860</xdr:colOff>
      <xdr:row>11</xdr:row>
      <xdr:rowOff>57150</xdr:rowOff>
    </xdr:from>
    <xdr:to>
      <xdr:col>5</xdr:col>
      <xdr:colOff>335280</xdr:colOff>
      <xdr:row>26</xdr:row>
      <xdr:rowOff>57150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saforp-my.sharepoint.com/insa%20fredy%20mayora/UFI_2013/Presupuesto%202014%20-Formulaci&#243;n/Consolidado%20Formulaci&#243;n%202014/SIMULADOR%20PARA%20FORMULACION%202014%20(Plazas%20Nuevas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saforp-my.sharepoint.com/insa%20fredy%20mayora/UFI_2019/Formulaci&#243;n%202020/Cuadros%20Presupuesto%20y%20Analisis%20de%20Tendencia/Proyecci&#243;n%20superavit_Ejecuciones%20y%20superavit%202012_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saforp-my.sharepoint.com/insa%20fredy%20mayora/UFI_2018/Liquidaci&#243;n%20del%20Presupuesto%202017/Liquidicaci&#243;n%20pto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uesta (2)"/>
      <sheetName val="Hoja4"/>
      <sheetName val="Hoja1"/>
      <sheetName val="SIMULADOR"/>
      <sheetName val="Simulador II"/>
      <sheetName val="2013 Proyecciones"/>
      <sheetName val="Nuevas Plazas"/>
      <sheetName val="Hoja2"/>
      <sheetName val="Pto 2014"/>
      <sheetName val="Impacto Salarios"/>
      <sheetName val="Actual"/>
      <sheetName val="Propuesta DIST"/>
      <sheetName val="Matriz Promedios"/>
      <sheetName val="Desgloce Gastos Admon"/>
      <sheetName val="Gráfico Gtos Admon"/>
      <sheetName val="2013 Presupuesto"/>
      <sheetName val="Impacto Salarios (2)"/>
      <sheetName val="Propuesta 3.5% AL 10%"/>
      <sheetName val="SIMULADOR PROPUESTAS 3.5% A 10%"/>
      <sheetName val="Porcentaje 80-20 ADMON"/>
      <sheetName val="Porcentaje Ope-admon"/>
      <sheetName val="Rangos Comparativo PWC"/>
      <sheetName val="Gráfico PWC"/>
      <sheetName val="Rangos Comp. Inst. Autónomas"/>
      <sheetName val="Gráfico Autónomas"/>
      <sheetName val="Rangos Comp. Inst. Autónoma G2"/>
      <sheetName val="Gráfico Autónomas G2"/>
      <sheetName val="Matriz Rangos Comp.Autó.G2"/>
      <sheetName val="Hoja8"/>
      <sheetName val="Cálculos"/>
      <sheetName val="Sit. Actual cambio prest"/>
      <sheetName val="Certificado"/>
      <sheetName val="SIMULADOR PROPUESTAS S. REAL"/>
      <sheetName val="MATRIZ COMPARATIVO S. Y DEN."/>
      <sheetName val="Situación Propuestas sin prest"/>
      <sheetName val="Criterios"/>
      <sheetName val="Base con sub totales"/>
      <sheetName val="Simulador (2)"/>
      <sheetName val="DBF c.Techos"/>
      <sheetName val="DBF"/>
      <sheetName val="Hoja5"/>
      <sheetName val="DEFINITIVO-2013 (2)"/>
      <sheetName val="DEFINITIVO-2013"/>
      <sheetName val="Hoja3"/>
    </sheetNames>
    <sheetDataSet>
      <sheetData sheetId="0"/>
      <sheetData sheetId="1"/>
      <sheetData sheetId="2"/>
      <sheetData sheetId="3"/>
      <sheetData sheetId="4">
        <row r="6">
          <cell r="M6">
            <v>1.07</v>
          </cell>
        </row>
        <row r="17">
          <cell r="M17">
            <v>1.0549999999999999</v>
          </cell>
        </row>
        <row r="21">
          <cell r="M21">
            <v>1.05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ección del Superavit"/>
      <sheetName val="Ejecuciones "/>
      <sheetName val="Gráfico Mov. Superávit"/>
      <sheetName val="Base Datos Cierres "/>
      <sheetName val="Gráfico Cierres"/>
      <sheetName val="Plan Estratégico"/>
    </sheetNames>
    <sheetDataSet>
      <sheetData sheetId="0"/>
      <sheetData sheetId="1">
        <row r="10">
          <cell r="J10">
            <v>38.4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jecución Pto 2017 (2)"/>
      <sheetName val="Ejecución Pto 2017"/>
      <sheetName val="Ejecución Pto 2016"/>
      <sheetName val="Gráfico Mov. Superávit"/>
      <sheetName val="Mov. superávit"/>
      <sheetName val="Tabla Dinámica"/>
      <sheetName val="BASE EJEC 2016"/>
    </sheetNames>
    <sheetDataSet>
      <sheetData sheetId="0"/>
      <sheetData sheetId="1"/>
      <sheetData sheetId="2"/>
      <sheetData sheetId="3"/>
      <sheetData sheetId="4">
        <row r="7">
          <cell r="E7">
            <v>37158466</v>
          </cell>
        </row>
        <row r="12">
          <cell r="E12">
            <v>36203510.390000008</v>
          </cell>
        </row>
      </sheetData>
      <sheetData sheetId="5"/>
      <sheetData sheetId="6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insaforp-my.sharepoint.com/personal/fmayora_insaforp_org_sv/Documents/UFI/UFI_2022/Formulaci&#243;n%202023/Cuadros%20y%20flujo%20de%20caja%20Pto%202022%20para%20presentaci&#243;n%20CD.xlsx#BgEIDA4ADAMGBAcBBAQECw=17.0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fi_fredy" refreshedDate="43335.480767476853" createdVersion="5" refreshedVersion="5" minRefreshableVersion="3" recordCount="8" xr:uid="{00000000-000A-0000-FFFF-FFFF00000000}">
  <cacheSource type="worksheet">
    <worksheetSource ref="A4:J12" sheet="Base Datos Cierres " r:id="rId2"/>
  </cacheSource>
  <cacheFields count="10">
    <cacheField name="Año" numFmtId="0">
      <sharedItems containsSemiMixedTypes="0" containsString="0" containsNumber="1" containsInteger="1" minValue="2012" maxValue="2019" count="8">
        <n v="2019"/>
        <n v="2018"/>
        <n v="2017"/>
        <n v="2016"/>
        <n v="2015"/>
        <n v="2014"/>
        <n v="2013"/>
        <n v="2012"/>
      </sharedItems>
    </cacheField>
    <cacheField name="Total Presupuesto" numFmtId="169">
      <sharedItems containsSemiMixedTypes="0" containsString="0" containsNumber="1" minValue="24.369499999999999" maxValue="48.839100000000002"/>
    </cacheField>
    <cacheField name="Plan Estratégico FP" numFmtId="0">
      <sharedItems containsNonDate="0" containsString="0" containsBlank="1"/>
    </cacheField>
    <cacheField name="Presupuesto FP" numFmtId="0">
      <sharedItems containsSemiMixedTypes="0" containsString="0" containsNumber="1" minValue="20.768999999999998" maxValue="41.6"/>
    </cacheField>
    <cacheField name="Proyección de Cierre FP" numFmtId="169">
      <sharedItems containsString="0" containsBlank="1" containsNumber="1" minValue="23.295999999999999" maxValue="38.76"/>
    </cacheField>
    <cacheField name="Ejecutado FP" numFmtId="169">
      <sharedItems containsString="0" containsBlank="1" containsNumber="1" minValue="16.037987000000001" maxValue="37.148000000000003"/>
    </cacheField>
    <cacheField name="Presupuesto Ad" numFmtId="0">
      <sharedItems containsSemiMixedTypes="0" containsString="0" containsNumber="1" minValue="3.2665000000000002" maxValue="8.0399999999999991"/>
    </cacheField>
    <cacheField name="Plan Estratégico Ad" numFmtId="0">
      <sharedItems containsString="0" containsBlank="1" containsNumber="1" minValue="3.6659430360000003" maxValue="35.940618000000001"/>
    </cacheField>
    <cacheField name="Proyección de Cierre Ad" numFmtId="169">
      <sharedItems containsString="0" containsBlank="1" containsNumber="1" minValue="3.3389470000000001" maxValue="7.7"/>
    </cacheField>
    <cacheField name="Ejecutado Ad" numFmtId="169">
      <sharedItems containsString="0" containsBlank="1" containsNumber="1" minValue="3.2440000000000002" maxValue="6.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x v="0"/>
    <n v="39.026756037647708"/>
    <m/>
    <n v="41.3"/>
    <m/>
    <m/>
    <n v="6.6"/>
    <n v="3.7392618967200004"/>
    <m/>
    <m/>
  </r>
  <r>
    <x v="1"/>
    <n v="39.569008946091486"/>
    <m/>
    <n v="41.6"/>
    <n v="38.76"/>
    <m/>
    <n v="8.0399999999999991"/>
    <n v="3.6659430360000003"/>
    <n v="5.2"/>
    <m/>
  </r>
  <r>
    <x v="2"/>
    <n v="48.839100000000002"/>
    <m/>
    <n v="41.1"/>
    <n v="35.700000000000003"/>
    <n v="32.4"/>
    <n v="7.7"/>
    <n v="35.940618000000001"/>
    <n v="4"/>
    <n v="3.8"/>
  </r>
  <r>
    <x v="3"/>
    <n v="47.258665000000001"/>
    <m/>
    <n v="39.302"/>
    <n v="37.148000000000003"/>
    <n v="37.148000000000003"/>
    <n v="7.9566650000000001"/>
    <m/>
    <n v="7.7"/>
    <n v="6.4"/>
  </r>
  <r>
    <x v="4"/>
    <n v="41.969124999999998"/>
    <m/>
    <n v="36.460099999999997"/>
    <n v="32.51"/>
    <n v="32.091000000000001"/>
    <n v="5.5090250000000003"/>
    <m/>
    <n v="3.54"/>
    <n v="3.6179999999999999"/>
  </r>
  <r>
    <x v="5"/>
    <n v="34.196244"/>
    <m/>
    <n v="30.117999999999999"/>
    <n v="27.873000000000001"/>
    <n v="24.972000000000001"/>
    <n v="4.0782439999999998"/>
    <m/>
    <n v="3.484"/>
    <n v="3.2440000000000002"/>
  </r>
  <r>
    <x v="6"/>
    <n v="31.642499999999998"/>
    <m/>
    <n v="28.376000000000001"/>
    <n v="25.57"/>
    <n v="24.231425999999999"/>
    <n v="3.2665000000000002"/>
    <m/>
    <n v="3.3389470000000001"/>
    <n v="3.3389470000000001"/>
  </r>
  <r>
    <x v="7"/>
    <n v="24.369499999999999"/>
    <m/>
    <n v="20.768999999999998"/>
    <n v="23.295999999999999"/>
    <n v="16.037987000000001"/>
    <n v="3.6004999999999998"/>
    <m/>
    <n v="3.3439999999999999"/>
    <n v="3.28446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B00-000000000000}" name="Tabla dinámica3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chartFormat="96">
  <location ref="A3:D12" firstHeaderRow="0" firstDataRow="1" firstDataCol="1"/>
  <pivotFields count="10">
    <pivotField axis="axisRow" showAll="0">
      <items count="9">
        <item x="7"/>
        <item x="6"/>
        <item x="5"/>
        <item x="4"/>
        <item x="3"/>
        <item x="2"/>
        <item x="1"/>
        <item x="0"/>
        <item t="default"/>
      </items>
    </pivotField>
    <pivotField numFmtId="166" showAll="0" defaultSubtotal="0"/>
    <pivotField showAll="0" defaultSubtotal="0"/>
    <pivotField dataField="1" numFmtId="166" showAll="0"/>
    <pivotField dataField="1" numFmtId="166" showAll="0"/>
    <pivotField dataField="1" numFmtId="166" showAll="0"/>
    <pivotField numFmtId="166" showAll="0"/>
    <pivotField showAll="0" defaultSubtotal="0"/>
    <pivotField numFmtId="166" showAll="0"/>
    <pivotField numFmtId="166"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  Presupuesto FP" fld="3" baseField="0" baseItem="0"/>
    <dataField name="  Proyección de Cierre FP" fld="4" baseField="0" baseItem="0"/>
    <dataField name="   Ejecutado FP" fld="5" baseField="0" baseItem="0"/>
  </dataFields>
  <formats count="2">
    <format dxfId="1">
      <pivotArea collapsedLevelsAreSubtotals="1" fieldPosition="0">
        <references count="1">
          <reference field="0" count="0"/>
        </references>
      </pivotArea>
    </format>
    <format dxfId="0">
      <pivotArea grandRow="1" outline="0" collapsedLevelsAreSubtotals="1" fieldPosition="0"/>
    </format>
  </formats>
  <chartFormats count="42">
    <chartFormat chart="8" format="2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2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" format="25">
      <pivotArea type="data" outline="0" fieldPosition="0">
        <references count="2">
          <reference field="4294967294" count="1" selected="0">
            <x v="2"/>
          </reference>
          <reference field="0" count="1" selected="0">
            <x v="3"/>
          </reference>
        </references>
      </pivotArea>
    </chartFormat>
    <chartFormat chart="8" format="26">
      <pivotArea type="data" outline="0" fieldPosition="0">
        <references count="2">
          <reference field="4294967294" count="1" selected="0">
            <x v="2"/>
          </reference>
          <reference field="0" count="1" selected="0">
            <x v="4"/>
          </reference>
        </references>
      </pivotArea>
    </chartFormat>
    <chartFormat chart="8" format="27">
      <pivotArea type="data" outline="0" fieldPosition="0">
        <references count="2">
          <reference field="4294967294" count="1" selected="0">
            <x v="1"/>
          </reference>
          <reference field="0" count="1" selected="0">
            <x v="4"/>
          </reference>
        </references>
      </pivotArea>
    </chartFormat>
    <chartFormat chart="8" format="28">
      <pivotArea type="data"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chartFormat>
    <chartFormat chart="8" format="29">
      <pivotArea type="data" outline="0" fieldPosition="0">
        <references count="2">
          <reference field="4294967294" count="1" selected="0">
            <x v="1"/>
          </reference>
          <reference field="0" count="1" selected="0">
            <x v="2"/>
          </reference>
        </references>
      </pivotArea>
    </chartFormat>
    <chartFormat chart="8" format="30">
      <pivotArea type="data" outline="0" fieldPosition="0">
        <references count="2">
          <reference field="4294967294" count="1" selected="0">
            <x v="1"/>
          </reference>
          <reference field="0" count="1" selected="0">
            <x v="1"/>
          </reference>
        </references>
      </pivotArea>
    </chartFormat>
    <chartFormat chart="8" format="3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8" format="32">
      <pivotArea type="data" outline="0" fieldPosition="0">
        <references count="2">
          <reference field="4294967294" count="1" selected="0">
            <x v="2"/>
          </reference>
          <reference field="0" count="1" selected="0">
            <x v="2"/>
          </reference>
        </references>
      </pivotArea>
    </chartFormat>
    <chartFormat chart="8" format="33">
      <pivotArea type="data" outline="0" fieldPosition="0">
        <references count="2">
          <reference field="4294967294" count="1" selected="0">
            <x v="2"/>
          </reference>
          <reference field="0" count="1" selected="0">
            <x v="0"/>
          </reference>
        </references>
      </pivotArea>
    </chartFormat>
    <chartFormat chart="8" format="34">
      <pivotArea type="data" outline="0" fieldPosition="0">
        <references count="2">
          <reference field="4294967294" count="1" selected="0">
            <x v="1"/>
          </reference>
          <reference field="0" count="1" selected="0">
            <x v="0"/>
          </reference>
        </references>
      </pivotArea>
    </chartFormat>
    <chartFormat chart="8" format="35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8" format="3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8" format="37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8" format="38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8" format="39">
      <pivotArea type="data" outline="0" fieldPosition="0">
        <references count="2">
          <reference field="4294967294" count="1" selected="0">
            <x v="2"/>
          </reference>
          <reference field="0" count="1" selected="0">
            <x v="1"/>
          </reference>
        </references>
      </pivotArea>
    </chartFormat>
    <chartFormat chart="8" format="41">
      <pivotArea type="data" outline="0" fieldPosition="0">
        <references count="2">
          <reference field="4294967294" count="1" selected="0">
            <x v="2"/>
          </reference>
          <reference field="0" count="1" selected="0">
            <x v="5"/>
          </reference>
        </references>
      </pivotArea>
    </chartFormat>
    <chartFormat chart="8" format="42">
      <pivotArea type="data" outline="0" fieldPosition="0">
        <references count="2">
          <reference field="4294967294" count="1" selected="0">
            <x v="1"/>
          </reference>
          <reference field="0" count="1" selected="0">
            <x v="5"/>
          </reference>
        </references>
      </pivotArea>
    </chartFormat>
    <chartFormat chart="8" format="45">
      <pivotArea type="data" outline="0" fieldPosition="0">
        <references count="2">
          <reference field="4294967294" count="1" selected="0">
            <x v="1"/>
          </reference>
          <reference field="0" count="1" selected="0">
            <x v="6"/>
          </reference>
        </references>
      </pivotArea>
    </chartFormat>
    <chartFormat chart="80" format="4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0" format="50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80" format="5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0" format="52">
      <pivotArea type="data" outline="0" fieldPosition="0">
        <references count="2">
          <reference field="4294967294" count="1" selected="0">
            <x v="1"/>
          </reference>
          <reference field="0" count="1" selected="0">
            <x v="1"/>
          </reference>
        </references>
      </pivotArea>
    </chartFormat>
    <chartFormat chart="80" format="53">
      <pivotArea type="data" outline="0" fieldPosition="0">
        <references count="2">
          <reference field="4294967294" count="1" selected="0">
            <x v="1"/>
          </reference>
          <reference field="0" count="1" selected="0">
            <x v="2"/>
          </reference>
        </references>
      </pivotArea>
    </chartFormat>
    <chartFormat chart="80" format="54">
      <pivotArea type="data"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chartFormat>
    <chartFormat chart="80" format="55">
      <pivotArea type="data" outline="0" fieldPosition="0">
        <references count="2">
          <reference field="4294967294" count="1" selected="0">
            <x v="1"/>
          </reference>
          <reference field="0" count="1" selected="0">
            <x v="4"/>
          </reference>
        </references>
      </pivotArea>
    </chartFormat>
    <chartFormat chart="80" format="56">
      <pivotArea type="data" outline="0" fieldPosition="0">
        <references count="2">
          <reference field="4294967294" count="1" selected="0">
            <x v="1"/>
          </reference>
          <reference field="0" count="1" selected="0">
            <x v="6"/>
          </reference>
        </references>
      </pivotArea>
    </chartFormat>
    <chartFormat chart="80" format="5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1" format="6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1" format="62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81" format="6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1" format="64">
      <pivotArea type="data" outline="0" fieldPosition="0">
        <references count="2">
          <reference field="4294967294" count="1" selected="0">
            <x v="1"/>
          </reference>
          <reference field="0" count="1" selected="0">
            <x v="1"/>
          </reference>
        </references>
      </pivotArea>
    </chartFormat>
    <chartFormat chart="81" format="65">
      <pivotArea type="data" outline="0" fieldPosition="0">
        <references count="2">
          <reference field="4294967294" count="1" selected="0">
            <x v="1"/>
          </reference>
          <reference field="0" count="1" selected="0">
            <x v="2"/>
          </reference>
        </references>
      </pivotArea>
    </chartFormat>
    <chartFormat chart="81" format="66">
      <pivotArea type="data" outline="0" fieldPosition="0">
        <references count="2">
          <reference field="4294967294" count="1" selected="0">
            <x v="1"/>
          </reference>
          <reference field="0" count="1" selected="0">
            <x v="3"/>
          </reference>
        </references>
      </pivotArea>
    </chartFormat>
    <chartFormat chart="81" format="67">
      <pivotArea type="data" outline="0" fieldPosition="0">
        <references count="2">
          <reference field="4294967294" count="1" selected="0">
            <x v="1"/>
          </reference>
          <reference field="0" count="1" selected="0">
            <x v="4"/>
          </reference>
        </references>
      </pivotArea>
    </chartFormat>
    <chartFormat chart="81" format="68">
      <pivotArea type="data" outline="0" fieldPosition="0">
        <references count="2">
          <reference field="4294967294" count="1" selected="0">
            <x v="1"/>
          </reference>
          <reference field="0" count="1" selected="0">
            <x v="6"/>
          </reference>
        </references>
      </pivotArea>
    </chartFormat>
    <chartFormat chart="81" format="69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8" format="46">
      <pivotArea type="data" outline="0" fieldPosition="0">
        <references count="2">
          <reference field="4294967294" count="1" selected="0">
            <x v="0"/>
          </reference>
          <reference field="0" count="1" selected="0">
            <x v="6"/>
          </reference>
        </references>
      </pivotArea>
    </chartFormat>
    <chartFormat chart="8" format="47">
      <pivotArea type="data" outline="0" fieldPosition="0">
        <references count="2">
          <reference field="4294967294" count="1" selected="0">
            <x v="0"/>
          </reference>
          <reference field="0" count="1" selected="0">
            <x v="7"/>
          </reference>
        </references>
      </pivotArea>
    </chartFormat>
    <chartFormat chart="8" format="48">
      <pivotArea type="data" outline="0" fieldPosition="0">
        <references count="2">
          <reference field="4294967294" count="1" selected="0">
            <x v="2"/>
          </reference>
          <reference field="0" count="1" selected="0">
            <x v="6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S121"/>
  <sheetViews>
    <sheetView topLeftCell="A4" zoomScale="80" zoomScaleNormal="80" workbookViewId="0">
      <selection activeCell="H52" sqref="H52"/>
    </sheetView>
  </sheetViews>
  <sheetFormatPr baseColWidth="10" defaultRowHeight="15" x14ac:dyDescent="0.25"/>
  <cols>
    <col min="2" max="2" width="44.140625" bestFit="1" customWidth="1"/>
    <col min="3" max="3" width="21" customWidth="1"/>
    <col min="4" max="4" width="12.85546875" customWidth="1"/>
    <col min="5" max="5" width="12.28515625" customWidth="1"/>
    <col min="6" max="6" width="10" hidden="1" customWidth="1"/>
    <col min="7" max="7" width="9.7109375" hidden="1" customWidth="1"/>
    <col min="8" max="8" width="14.7109375" customWidth="1"/>
    <col min="9" max="9" width="8.140625" bestFit="1" customWidth="1"/>
    <col min="10" max="10" width="10.28515625" style="40" hidden="1" customWidth="1"/>
    <col min="11" max="11" width="8.7109375" style="36" hidden="1" customWidth="1"/>
    <col min="12" max="12" width="9.7109375" style="20" hidden="1" customWidth="1"/>
    <col min="13" max="13" width="7.5703125" style="36" hidden="1" customWidth="1"/>
    <col min="14" max="14" width="14.42578125" customWidth="1"/>
    <col min="15" max="15" width="11" customWidth="1"/>
    <col min="16" max="16" width="17.28515625" customWidth="1"/>
    <col min="17" max="17" width="14.85546875" customWidth="1"/>
    <col min="244" max="244" width="37.42578125" bestFit="1" customWidth="1"/>
    <col min="245" max="245" width="13.85546875" bestFit="1" customWidth="1"/>
    <col min="246" max="246" width="13.42578125" customWidth="1"/>
    <col min="247" max="247" width="7.85546875" bestFit="1" customWidth="1"/>
    <col min="248" max="248" width="13.28515625" customWidth="1"/>
    <col min="249" max="249" width="7.7109375" bestFit="1" customWidth="1"/>
    <col min="250" max="250" width="14.7109375" customWidth="1"/>
    <col min="251" max="251" width="7.85546875" bestFit="1" customWidth="1"/>
    <col min="500" max="500" width="37.42578125" bestFit="1" customWidth="1"/>
    <col min="501" max="501" width="13.85546875" bestFit="1" customWidth="1"/>
    <col min="502" max="502" width="13.42578125" customWidth="1"/>
    <col min="503" max="503" width="7.85546875" bestFit="1" customWidth="1"/>
    <col min="504" max="504" width="13.28515625" customWidth="1"/>
    <col min="505" max="505" width="7.7109375" bestFit="1" customWidth="1"/>
    <col min="506" max="506" width="14.7109375" customWidth="1"/>
    <col min="507" max="507" width="7.85546875" bestFit="1" customWidth="1"/>
    <col min="756" max="756" width="37.42578125" bestFit="1" customWidth="1"/>
    <col min="757" max="757" width="13.85546875" bestFit="1" customWidth="1"/>
    <col min="758" max="758" width="13.42578125" customWidth="1"/>
    <col min="759" max="759" width="7.85546875" bestFit="1" customWidth="1"/>
    <col min="760" max="760" width="13.28515625" customWidth="1"/>
    <col min="761" max="761" width="7.7109375" bestFit="1" customWidth="1"/>
    <col min="762" max="762" width="14.7109375" customWidth="1"/>
    <col min="763" max="763" width="7.85546875" bestFit="1" customWidth="1"/>
    <col min="1012" max="1012" width="37.42578125" bestFit="1" customWidth="1"/>
    <col min="1013" max="1013" width="13.85546875" bestFit="1" customWidth="1"/>
    <col min="1014" max="1014" width="13.42578125" customWidth="1"/>
    <col min="1015" max="1015" width="7.85546875" bestFit="1" customWidth="1"/>
    <col min="1016" max="1016" width="13.28515625" customWidth="1"/>
    <col min="1017" max="1017" width="7.7109375" bestFit="1" customWidth="1"/>
    <col min="1018" max="1018" width="14.7109375" customWidth="1"/>
    <col min="1019" max="1019" width="7.85546875" bestFit="1" customWidth="1"/>
    <col min="1268" max="1268" width="37.42578125" bestFit="1" customWidth="1"/>
    <col min="1269" max="1269" width="13.85546875" bestFit="1" customWidth="1"/>
    <col min="1270" max="1270" width="13.42578125" customWidth="1"/>
    <col min="1271" max="1271" width="7.85546875" bestFit="1" customWidth="1"/>
    <col min="1272" max="1272" width="13.28515625" customWidth="1"/>
    <col min="1273" max="1273" width="7.7109375" bestFit="1" customWidth="1"/>
    <col min="1274" max="1274" width="14.7109375" customWidth="1"/>
    <col min="1275" max="1275" width="7.85546875" bestFit="1" customWidth="1"/>
    <col min="1524" max="1524" width="37.42578125" bestFit="1" customWidth="1"/>
    <col min="1525" max="1525" width="13.85546875" bestFit="1" customWidth="1"/>
    <col min="1526" max="1526" width="13.42578125" customWidth="1"/>
    <col min="1527" max="1527" width="7.85546875" bestFit="1" customWidth="1"/>
    <col min="1528" max="1528" width="13.28515625" customWidth="1"/>
    <col min="1529" max="1529" width="7.7109375" bestFit="1" customWidth="1"/>
    <col min="1530" max="1530" width="14.7109375" customWidth="1"/>
    <col min="1531" max="1531" width="7.85546875" bestFit="1" customWidth="1"/>
    <col min="1780" max="1780" width="37.42578125" bestFit="1" customWidth="1"/>
    <col min="1781" max="1781" width="13.85546875" bestFit="1" customWidth="1"/>
    <col min="1782" max="1782" width="13.42578125" customWidth="1"/>
    <col min="1783" max="1783" width="7.85546875" bestFit="1" customWidth="1"/>
    <col min="1784" max="1784" width="13.28515625" customWidth="1"/>
    <col min="1785" max="1785" width="7.7109375" bestFit="1" customWidth="1"/>
    <col min="1786" max="1786" width="14.7109375" customWidth="1"/>
    <col min="1787" max="1787" width="7.85546875" bestFit="1" customWidth="1"/>
    <col min="2036" max="2036" width="37.42578125" bestFit="1" customWidth="1"/>
    <col min="2037" max="2037" width="13.85546875" bestFit="1" customWidth="1"/>
    <col min="2038" max="2038" width="13.42578125" customWidth="1"/>
    <col min="2039" max="2039" width="7.85546875" bestFit="1" customWidth="1"/>
    <col min="2040" max="2040" width="13.28515625" customWidth="1"/>
    <col min="2041" max="2041" width="7.7109375" bestFit="1" customWidth="1"/>
    <col min="2042" max="2042" width="14.7109375" customWidth="1"/>
    <col min="2043" max="2043" width="7.85546875" bestFit="1" customWidth="1"/>
    <col min="2292" max="2292" width="37.42578125" bestFit="1" customWidth="1"/>
    <col min="2293" max="2293" width="13.85546875" bestFit="1" customWidth="1"/>
    <col min="2294" max="2294" width="13.42578125" customWidth="1"/>
    <col min="2295" max="2295" width="7.85546875" bestFit="1" customWidth="1"/>
    <col min="2296" max="2296" width="13.28515625" customWidth="1"/>
    <col min="2297" max="2297" width="7.7109375" bestFit="1" customWidth="1"/>
    <col min="2298" max="2298" width="14.7109375" customWidth="1"/>
    <col min="2299" max="2299" width="7.85546875" bestFit="1" customWidth="1"/>
    <col min="2548" max="2548" width="37.42578125" bestFit="1" customWidth="1"/>
    <col min="2549" max="2549" width="13.85546875" bestFit="1" customWidth="1"/>
    <col min="2550" max="2550" width="13.42578125" customWidth="1"/>
    <col min="2551" max="2551" width="7.85546875" bestFit="1" customWidth="1"/>
    <col min="2552" max="2552" width="13.28515625" customWidth="1"/>
    <col min="2553" max="2553" width="7.7109375" bestFit="1" customWidth="1"/>
    <col min="2554" max="2554" width="14.7109375" customWidth="1"/>
    <col min="2555" max="2555" width="7.85546875" bestFit="1" customWidth="1"/>
    <col min="2804" max="2804" width="37.42578125" bestFit="1" customWidth="1"/>
    <col min="2805" max="2805" width="13.85546875" bestFit="1" customWidth="1"/>
    <col min="2806" max="2806" width="13.42578125" customWidth="1"/>
    <col min="2807" max="2807" width="7.85546875" bestFit="1" customWidth="1"/>
    <col min="2808" max="2808" width="13.28515625" customWidth="1"/>
    <col min="2809" max="2809" width="7.7109375" bestFit="1" customWidth="1"/>
    <col min="2810" max="2810" width="14.7109375" customWidth="1"/>
    <col min="2811" max="2811" width="7.85546875" bestFit="1" customWidth="1"/>
    <col min="3060" max="3060" width="37.42578125" bestFit="1" customWidth="1"/>
    <col min="3061" max="3061" width="13.85546875" bestFit="1" customWidth="1"/>
    <col min="3062" max="3062" width="13.42578125" customWidth="1"/>
    <col min="3063" max="3063" width="7.85546875" bestFit="1" customWidth="1"/>
    <col min="3064" max="3064" width="13.28515625" customWidth="1"/>
    <col min="3065" max="3065" width="7.7109375" bestFit="1" customWidth="1"/>
    <col min="3066" max="3066" width="14.7109375" customWidth="1"/>
    <col min="3067" max="3067" width="7.85546875" bestFit="1" customWidth="1"/>
    <col min="3316" max="3316" width="37.42578125" bestFit="1" customWidth="1"/>
    <col min="3317" max="3317" width="13.85546875" bestFit="1" customWidth="1"/>
    <col min="3318" max="3318" width="13.42578125" customWidth="1"/>
    <col min="3319" max="3319" width="7.85546875" bestFit="1" customWidth="1"/>
    <col min="3320" max="3320" width="13.28515625" customWidth="1"/>
    <col min="3321" max="3321" width="7.7109375" bestFit="1" customWidth="1"/>
    <col min="3322" max="3322" width="14.7109375" customWidth="1"/>
    <col min="3323" max="3323" width="7.85546875" bestFit="1" customWidth="1"/>
    <col min="3572" max="3572" width="37.42578125" bestFit="1" customWidth="1"/>
    <col min="3573" max="3573" width="13.85546875" bestFit="1" customWidth="1"/>
    <col min="3574" max="3574" width="13.42578125" customWidth="1"/>
    <col min="3575" max="3575" width="7.85546875" bestFit="1" customWidth="1"/>
    <col min="3576" max="3576" width="13.28515625" customWidth="1"/>
    <col min="3577" max="3577" width="7.7109375" bestFit="1" customWidth="1"/>
    <col min="3578" max="3578" width="14.7109375" customWidth="1"/>
    <col min="3579" max="3579" width="7.85546875" bestFit="1" customWidth="1"/>
    <col min="3828" max="3828" width="37.42578125" bestFit="1" customWidth="1"/>
    <col min="3829" max="3829" width="13.85546875" bestFit="1" customWidth="1"/>
    <col min="3830" max="3830" width="13.42578125" customWidth="1"/>
    <col min="3831" max="3831" width="7.85546875" bestFit="1" customWidth="1"/>
    <col min="3832" max="3832" width="13.28515625" customWidth="1"/>
    <col min="3833" max="3833" width="7.7109375" bestFit="1" customWidth="1"/>
    <col min="3834" max="3834" width="14.7109375" customWidth="1"/>
    <col min="3835" max="3835" width="7.85546875" bestFit="1" customWidth="1"/>
    <col min="4084" max="4084" width="37.42578125" bestFit="1" customWidth="1"/>
    <col min="4085" max="4085" width="13.85546875" bestFit="1" customWidth="1"/>
    <col min="4086" max="4086" width="13.42578125" customWidth="1"/>
    <col min="4087" max="4087" width="7.85546875" bestFit="1" customWidth="1"/>
    <col min="4088" max="4088" width="13.28515625" customWidth="1"/>
    <col min="4089" max="4089" width="7.7109375" bestFit="1" customWidth="1"/>
    <col min="4090" max="4090" width="14.7109375" customWidth="1"/>
    <col min="4091" max="4091" width="7.85546875" bestFit="1" customWidth="1"/>
    <col min="4340" max="4340" width="37.42578125" bestFit="1" customWidth="1"/>
    <col min="4341" max="4341" width="13.85546875" bestFit="1" customWidth="1"/>
    <col min="4342" max="4342" width="13.42578125" customWidth="1"/>
    <col min="4343" max="4343" width="7.85546875" bestFit="1" customWidth="1"/>
    <col min="4344" max="4344" width="13.28515625" customWidth="1"/>
    <col min="4345" max="4345" width="7.7109375" bestFit="1" customWidth="1"/>
    <col min="4346" max="4346" width="14.7109375" customWidth="1"/>
    <col min="4347" max="4347" width="7.85546875" bestFit="1" customWidth="1"/>
    <col min="4596" max="4596" width="37.42578125" bestFit="1" customWidth="1"/>
    <col min="4597" max="4597" width="13.85546875" bestFit="1" customWidth="1"/>
    <col min="4598" max="4598" width="13.42578125" customWidth="1"/>
    <col min="4599" max="4599" width="7.85546875" bestFit="1" customWidth="1"/>
    <col min="4600" max="4600" width="13.28515625" customWidth="1"/>
    <col min="4601" max="4601" width="7.7109375" bestFit="1" customWidth="1"/>
    <col min="4602" max="4602" width="14.7109375" customWidth="1"/>
    <col min="4603" max="4603" width="7.85546875" bestFit="1" customWidth="1"/>
    <col min="4852" max="4852" width="37.42578125" bestFit="1" customWidth="1"/>
    <col min="4853" max="4853" width="13.85546875" bestFit="1" customWidth="1"/>
    <col min="4854" max="4854" width="13.42578125" customWidth="1"/>
    <col min="4855" max="4855" width="7.85546875" bestFit="1" customWidth="1"/>
    <col min="4856" max="4856" width="13.28515625" customWidth="1"/>
    <col min="4857" max="4857" width="7.7109375" bestFit="1" customWidth="1"/>
    <col min="4858" max="4858" width="14.7109375" customWidth="1"/>
    <col min="4859" max="4859" width="7.85546875" bestFit="1" customWidth="1"/>
    <col min="5108" max="5108" width="37.42578125" bestFit="1" customWidth="1"/>
    <col min="5109" max="5109" width="13.85546875" bestFit="1" customWidth="1"/>
    <col min="5110" max="5110" width="13.42578125" customWidth="1"/>
    <col min="5111" max="5111" width="7.85546875" bestFit="1" customWidth="1"/>
    <col min="5112" max="5112" width="13.28515625" customWidth="1"/>
    <col min="5113" max="5113" width="7.7109375" bestFit="1" customWidth="1"/>
    <col min="5114" max="5114" width="14.7109375" customWidth="1"/>
    <col min="5115" max="5115" width="7.85546875" bestFit="1" customWidth="1"/>
    <col min="5364" max="5364" width="37.42578125" bestFit="1" customWidth="1"/>
    <col min="5365" max="5365" width="13.85546875" bestFit="1" customWidth="1"/>
    <col min="5366" max="5366" width="13.42578125" customWidth="1"/>
    <col min="5367" max="5367" width="7.85546875" bestFit="1" customWidth="1"/>
    <col min="5368" max="5368" width="13.28515625" customWidth="1"/>
    <col min="5369" max="5369" width="7.7109375" bestFit="1" customWidth="1"/>
    <col min="5370" max="5370" width="14.7109375" customWidth="1"/>
    <col min="5371" max="5371" width="7.85546875" bestFit="1" customWidth="1"/>
    <col min="5620" max="5620" width="37.42578125" bestFit="1" customWidth="1"/>
    <col min="5621" max="5621" width="13.85546875" bestFit="1" customWidth="1"/>
    <col min="5622" max="5622" width="13.42578125" customWidth="1"/>
    <col min="5623" max="5623" width="7.85546875" bestFit="1" customWidth="1"/>
    <col min="5624" max="5624" width="13.28515625" customWidth="1"/>
    <col min="5625" max="5625" width="7.7109375" bestFit="1" customWidth="1"/>
    <col min="5626" max="5626" width="14.7109375" customWidth="1"/>
    <col min="5627" max="5627" width="7.85546875" bestFit="1" customWidth="1"/>
    <col min="5876" max="5876" width="37.42578125" bestFit="1" customWidth="1"/>
    <col min="5877" max="5877" width="13.85546875" bestFit="1" customWidth="1"/>
    <col min="5878" max="5878" width="13.42578125" customWidth="1"/>
    <col min="5879" max="5879" width="7.85546875" bestFit="1" customWidth="1"/>
    <col min="5880" max="5880" width="13.28515625" customWidth="1"/>
    <col min="5881" max="5881" width="7.7109375" bestFit="1" customWidth="1"/>
    <col min="5882" max="5882" width="14.7109375" customWidth="1"/>
    <col min="5883" max="5883" width="7.85546875" bestFit="1" customWidth="1"/>
    <col min="6132" max="6132" width="37.42578125" bestFit="1" customWidth="1"/>
    <col min="6133" max="6133" width="13.85546875" bestFit="1" customWidth="1"/>
    <col min="6134" max="6134" width="13.42578125" customWidth="1"/>
    <col min="6135" max="6135" width="7.85546875" bestFit="1" customWidth="1"/>
    <col min="6136" max="6136" width="13.28515625" customWidth="1"/>
    <col min="6137" max="6137" width="7.7109375" bestFit="1" customWidth="1"/>
    <col min="6138" max="6138" width="14.7109375" customWidth="1"/>
    <col min="6139" max="6139" width="7.85546875" bestFit="1" customWidth="1"/>
    <col min="6388" max="6388" width="37.42578125" bestFit="1" customWidth="1"/>
    <col min="6389" max="6389" width="13.85546875" bestFit="1" customWidth="1"/>
    <col min="6390" max="6390" width="13.42578125" customWidth="1"/>
    <col min="6391" max="6391" width="7.85546875" bestFit="1" customWidth="1"/>
    <col min="6392" max="6392" width="13.28515625" customWidth="1"/>
    <col min="6393" max="6393" width="7.7109375" bestFit="1" customWidth="1"/>
    <col min="6394" max="6394" width="14.7109375" customWidth="1"/>
    <col min="6395" max="6395" width="7.85546875" bestFit="1" customWidth="1"/>
    <col min="6644" max="6644" width="37.42578125" bestFit="1" customWidth="1"/>
    <col min="6645" max="6645" width="13.85546875" bestFit="1" customWidth="1"/>
    <col min="6646" max="6646" width="13.42578125" customWidth="1"/>
    <col min="6647" max="6647" width="7.85546875" bestFit="1" customWidth="1"/>
    <col min="6648" max="6648" width="13.28515625" customWidth="1"/>
    <col min="6649" max="6649" width="7.7109375" bestFit="1" customWidth="1"/>
    <col min="6650" max="6650" width="14.7109375" customWidth="1"/>
    <col min="6651" max="6651" width="7.85546875" bestFit="1" customWidth="1"/>
    <col min="6900" max="6900" width="37.42578125" bestFit="1" customWidth="1"/>
    <col min="6901" max="6901" width="13.85546875" bestFit="1" customWidth="1"/>
    <col min="6902" max="6902" width="13.42578125" customWidth="1"/>
    <col min="6903" max="6903" width="7.85546875" bestFit="1" customWidth="1"/>
    <col min="6904" max="6904" width="13.28515625" customWidth="1"/>
    <col min="6905" max="6905" width="7.7109375" bestFit="1" customWidth="1"/>
    <col min="6906" max="6906" width="14.7109375" customWidth="1"/>
    <col min="6907" max="6907" width="7.85546875" bestFit="1" customWidth="1"/>
    <col min="7156" max="7156" width="37.42578125" bestFit="1" customWidth="1"/>
    <col min="7157" max="7157" width="13.85546875" bestFit="1" customWidth="1"/>
    <col min="7158" max="7158" width="13.42578125" customWidth="1"/>
    <col min="7159" max="7159" width="7.85546875" bestFit="1" customWidth="1"/>
    <col min="7160" max="7160" width="13.28515625" customWidth="1"/>
    <col min="7161" max="7161" width="7.7109375" bestFit="1" customWidth="1"/>
    <col min="7162" max="7162" width="14.7109375" customWidth="1"/>
    <col min="7163" max="7163" width="7.85546875" bestFit="1" customWidth="1"/>
    <col min="7412" max="7412" width="37.42578125" bestFit="1" customWidth="1"/>
    <col min="7413" max="7413" width="13.85546875" bestFit="1" customWidth="1"/>
    <col min="7414" max="7414" width="13.42578125" customWidth="1"/>
    <col min="7415" max="7415" width="7.85546875" bestFit="1" customWidth="1"/>
    <col min="7416" max="7416" width="13.28515625" customWidth="1"/>
    <col min="7417" max="7417" width="7.7109375" bestFit="1" customWidth="1"/>
    <col min="7418" max="7418" width="14.7109375" customWidth="1"/>
    <col min="7419" max="7419" width="7.85546875" bestFit="1" customWidth="1"/>
    <col min="7668" max="7668" width="37.42578125" bestFit="1" customWidth="1"/>
    <col min="7669" max="7669" width="13.85546875" bestFit="1" customWidth="1"/>
    <col min="7670" max="7670" width="13.42578125" customWidth="1"/>
    <col min="7671" max="7671" width="7.85546875" bestFit="1" customWidth="1"/>
    <col min="7672" max="7672" width="13.28515625" customWidth="1"/>
    <col min="7673" max="7673" width="7.7109375" bestFit="1" customWidth="1"/>
    <col min="7674" max="7674" width="14.7109375" customWidth="1"/>
    <col min="7675" max="7675" width="7.85546875" bestFit="1" customWidth="1"/>
    <col min="7924" max="7924" width="37.42578125" bestFit="1" customWidth="1"/>
    <col min="7925" max="7925" width="13.85546875" bestFit="1" customWidth="1"/>
    <col min="7926" max="7926" width="13.42578125" customWidth="1"/>
    <col min="7927" max="7927" width="7.85546875" bestFit="1" customWidth="1"/>
    <col min="7928" max="7928" width="13.28515625" customWidth="1"/>
    <col min="7929" max="7929" width="7.7109375" bestFit="1" customWidth="1"/>
    <col min="7930" max="7930" width="14.7109375" customWidth="1"/>
    <col min="7931" max="7931" width="7.85546875" bestFit="1" customWidth="1"/>
    <col min="8180" max="8180" width="37.42578125" bestFit="1" customWidth="1"/>
    <col min="8181" max="8181" width="13.85546875" bestFit="1" customWidth="1"/>
    <col min="8182" max="8182" width="13.42578125" customWidth="1"/>
    <col min="8183" max="8183" width="7.85546875" bestFit="1" customWidth="1"/>
    <col min="8184" max="8184" width="13.28515625" customWidth="1"/>
    <col min="8185" max="8185" width="7.7109375" bestFit="1" customWidth="1"/>
    <col min="8186" max="8186" width="14.7109375" customWidth="1"/>
    <col min="8187" max="8187" width="7.85546875" bestFit="1" customWidth="1"/>
    <col min="8436" max="8436" width="37.42578125" bestFit="1" customWidth="1"/>
    <col min="8437" max="8437" width="13.85546875" bestFit="1" customWidth="1"/>
    <col min="8438" max="8438" width="13.42578125" customWidth="1"/>
    <col min="8439" max="8439" width="7.85546875" bestFit="1" customWidth="1"/>
    <col min="8440" max="8440" width="13.28515625" customWidth="1"/>
    <col min="8441" max="8441" width="7.7109375" bestFit="1" customWidth="1"/>
    <col min="8442" max="8442" width="14.7109375" customWidth="1"/>
    <col min="8443" max="8443" width="7.85546875" bestFit="1" customWidth="1"/>
    <col min="8692" max="8692" width="37.42578125" bestFit="1" customWidth="1"/>
    <col min="8693" max="8693" width="13.85546875" bestFit="1" customWidth="1"/>
    <col min="8694" max="8694" width="13.42578125" customWidth="1"/>
    <col min="8695" max="8695" width="7.85546875" bestFit="1" customWidth="1"/>
    <col min="8696" max="8696" width="13.28515625" customWidth="1"/>
    <col min="8697" max="8697" width="7.7109375" bestFit="1" customWidth="1"/>
    <col min="8698" max="8698" width="14.7109375" customWidth="1"/>
    <col min="8699" max="8699" width="7.85546875" bestFit="1" customWidth="1"/>
    <col min="8948" max="8948" width="37.42578125" bestFit="1" customWidth="1"/>
    <col min="8949" max="8949" width="13.85546875" bestFit="1" customWidth="1"/>
    <col min="8950" max="8950" width="13.42578125" customWidth="1"/>
    <col min="8951" max="8951" width="7.85546875" bestFit="1" customWidth="1"/>
    <col min="8952" max="8952" width="13.28515625" customWidth="1"/>
    <col min="8953" max="8953" width="7.7109375" bestFit="1" customWidth="1"/>
    <col min="8954" max="8954" width="14.7109375" customWidth="1"/>
    <col min="8955" max="8955" width="7.85546875" bestFit="1" customWidth="1"/>
    <col min="9204" max="9204" width="37.42578125" bestFit="1" customWidth="1"/>
    <col min="9205" max="9205" width="13.85546875" bestFit="1" customWidth="1"/>
    <col min="9206" max="9206" width="13.42578125" customWidth="1"/>
    <col min="9207" max="9207" width="7.85546875" bestFit="1" customWidth="1"/>
    <col min="9208" max="9208" width="13.28515625" customWidth="1"/>
    <col min="9209" max="9209" width="7.7109375" bestFit="1" customWidth="1"/>
    <col min="9210" max="9210" width="14.7109375" customWidth="1"/>
    <col min="9211" max="9211" width="7.85546875" bestFit="1" customWidth="1"/>
    <col min="9460" max="9460" width="37.42578125" bestFit="1" customWidth="1"/>
    <col min="9461" max="9461" width="13.85546875" bestFit="1" customWidth="1"/>
    <col min="9462" max="9462" width="13.42578125" customWidth="1"/>
    <col min="9463" max="9463" width="7.85546875" bestFit="1" customWidth="1"/>
    <col min="9464" max="9464" width="13.28515625" customWidth="1"/>
    <col min="9465" max="9465" width="7.7109375" bestFit="1" customWidth="1"/>
    <col min="9466" max="9466" width="14.7109375" customWidth="1"/>
    <col min="9467" max="9467" width="7.85546875" bestFit="1" customWidth="1"/>
    <col min="9716" max="9716" width="37.42578125" bestFit="1" customWidth="1"/>
    <col min="9717" max="9717" width="13.85546875" bestFit="1" customWidth="1"/>
    <col min="9718" max="9718" width="13.42578125" customWidth="1"/>
    <col min="9719" max="9719" width="7.85546875" bestFit="1" customWidth="1"/>
    <col min="9720" max="9720" width="13.28515625" customWidth="1"/>
    <col min="9721" max="9721" width="7.7109375" bestFit="1" customWidth="1"/>
    <col min="9722" max="9722" width="14.7109375" customWidth="1"/>
    <col min="9723" max="9723" width="7.85546875" bestFit="1" customWidth="1"/>
    <col min="9972" max="9972" width="37.42578125" bestFit="1" customWidth="1"/>
    <col min="9973" max="9973" width="13.85546875" bestFit="1" customWidth="1"/>
    <col min="9974" max="9974" width="13.42578125" customWidth="1"/>
    <col min="9975" max="9975" width="7.85546875" bestFit="1" customWidth="1"/>
    <col min="9976" max="9976" width="13.28515625" customWidth="1"/>
    <col min="9977" max="9977" width="7.7109375" bestFit="1" customWidth="1"/>
    <col min="9978" max="9978" width="14.7109375" customWidth="1"/>
    <col min="9979" max="9979" width="7.85546875" bestFit="1" customWidth="1"/>
    <col min="10228" max="10228" width="37.42578125" bestFit="1" customWidth="1"/>
    <col min="10229" max="10229" width="13.85546875" bestFit="1" customWidth="1"/>
    <col min="10230" max="10230" width="13.42578125" customWidth="1"/>
    <col min="10231" max="10231" width="7.85546875" bestFit="1" customWidth="1"/>
    <col min="10232" max="10232" width="13.28515625" customWidth="1"/>
    <col min="10233" max="10233" width="7.7109375" bestFit="1" customWidth="1"/>
    <col min="10234" max="10234" width="14.7109375" customWidth="1"/>
    <col min="10235" max="10235" width="7.85546875" bestFit="1" customWidth="1"/>
    <col min="10484" max="10484" width="37.42578125" bestFit="1" customWidth="1"/>
    <col min="10485" max="10485" width="13.85546875" bestFit="1" customWidth="1"/>
    <col min="10486" max="10486" width="13.42578125" customWidth="1"/>
    <col min="10487" max="10487" width="7.85546875" bestFit="1" customWidth="1"/>
    <col min="10488" max="10488" width="13.28515625" customWidth="1"/>
    <col min="10489" max="10489" width="7.7109375" bestFit="1" customWidth="1"/>
    <col min="10490" max="10490" width="14.7109375" customWidth="1"/>
    <col min="10491" max="10491" width="7.85546875" bestFit="1" customWidth="1"/>
    <col min="10740" max="10740" width="37.42578125" bestFit="1" customWidth="1"/>
    <col min="10741" max="10741" width="13.85546875" bestFit="1" customWidth="1"/>
    <col min="10742" max="10742" width="13.42578125" customWidth="1"/>
    <col min="10743" max="10743" width="7.85546875" bestFit="1" customWidth="1"/>
    <col min="10744" max="10744" width="13.28515625" customWidth="1"/>
    <col min="10745" max="10745" width="7.7109375" bestFit="1" customWidth="1"/>
    <col min="10746" max="10746" width="14.7109375" customWidth="1"/>
    <col min="10747" max="10747" width="7.85546875" bestFit="1" customWidth="1"/>
    <col min="10996" max="10996" width="37.42578125" bestFit="1" customWidth="1"/>
    <col min="10997" max="10997" width="13.85546875" bestFit="1" customWidth="1"/>
    <col min="10998" max="10998" width="13.42578125" customWidth="1"/>
    <col min="10999" max="10999" width="7.85546875" bestFit="1" customWidth="1"/>
    <col min="11000" max="11000" width="13.28515625" customWidth="1"/>
    <col min="11001" max="11001" width="7.7109375" bestFit="1" customWidth="1"/>
    <col min="11002" max="11002" width="14.7109375" customWidth="1"/>
    <col min="11003" max="11003" width="7.85546875" bestFit="1" customWidth="1"/>
    <col min="11252" max="11252" width="37.42578125" bestFit="1" customWidth="1"/>
    <col min="11253" max="11253" width="13.85546875" bestFit="1" customWidth="1"/>
    <col min="11254" max="11254" width="13.42578125" customWidth="1"/>
    <col min="11255" max="11255" width="7.85546875" bestFit="1" customWidth="1"/>
    <col min="11256" max="11256" width="13.28515625" customWidth="1"/>
    <col min="11257" max="11257" width="7.7109375" bestFit="1" customWidth="1"/>
    <col min="11258" max="11258" width="14.7109375" customWidth="1"/>
    <col min="11259" max="11259" width="7.85546875" bestFit="1" customWidth="1"/>
    <col min="11508" max="11508" width="37.42578125" bestFit="1" customWidth="1"/>
    <col min="11509" max="11509" width="13.85546875" bestFit="1" customWidth="1"/>
    <col min="11510" max="11510" width="13.42578125" customWidth="1"/>
    <col min="11511" max="11511" width="7.85546875" bestFit="1" customWidth="1"/>
    <col min="11512" max="11512" width="13.28515625" customWidth="1"/>
    <col min="11513" max="11513" width="7.7109375" bestFit="1" customWidth="1"/>
    <col min="11514" max="11514" width="14.7109375" customWidth="1"/>
    <col min="11515" max="11515" width="7.85546875" bestFit="1" customWidth="1"/>
    <col min="11764" max="11764" width="37.42578125" bestFit="1" customWidth="1"/>
    <col min="11765" max="11765" width="13.85546875" bestFit="1" customWidth="1"/>
    <col min="11766" max="11766" width="13.42578125" customWidth="1"/>
    <col min="11767" max="11767" width="7.85546875" bestFit="1" customWidth="1"/>
    <col min="11768" max="11768" width="13.28515625" customWidth="1"/>
    <col min="11769" max="11769" width="7.7109375" bestFit="1" customWidth="1"/>
    <col min="11770" max="11770" width="14.7109375" customWidth="1"/>
    <col min="11771" max="11771" width="7.85546875" bestFit="1" customWidth="1"/>
    <col min="12020" max="12020" width="37.42578125" bestFit="1" customWidth="1"/>
    <col min="12021" max="12021" width="13.85546875" bestFit="1" customWidth="1"/>
    <col min="12022" max="12022" width="13.42578125" customWidth="1"/>
    <col min="12023" max="12023" width="7.85546875" bestFit="1" customWidth="1"/>
    <col min="12024" max="12024" width="13.28515625" customWidth="1"/>
    <col min="12025" max="12025" width="7.7109375" bestFit="1" customWidth="1"/>
    <col min="12026" max="12026" width="14.7109375" customWidth="1"/>
    <col min="12027" max="12027" width="7.85546875" bestFit="1" customWidth="1"/>
    <col min="12276" max="12276" width="37.42578125" bestFit="1" customWidth="1"/>
    <col min="12277" max="12277" width="13.85546875" bestFit="1" customWidth="1"/>
    <col min="12278" max="12278" width="13.42578125" customWidth="1"/>
    <col min="12279" max="12279" width="7.85546875" bestFit="1" customWidth="1"/>
    <col min="12280" max="12280" width="13.28515625" customWidth="1"/>
    <col min="12281" max="12281" width="7.7109375" bestFit="1" customWidth="1"/>
    <col min="12282" max="12282" width="14.7109375" customWidth="1"/>
    <col min="12283" max="12283" width="7.85546875" bestFit="1" customWidth="1"/>
    <col min="12532" max="12532" width="37.42578125" bestFit="1" customWidth="1"/>
    <col min="12533" max="12533" width="13.85546875" bestFit="1" customWidth="1"/>
    <col min="12534" max="12534" width="13.42578125" customWidth="1"/>
    <col min="12535" max="12535" width="7.85546875" bestFit="1" customWidth="1"/>
    <col min="12536" max="12536" width="13.28515625" customWidth="1"/>
    <col min="12537" max="12537" width="7.7109375" bestFit="1" customWidth="1"/>
    <col min="12538" max="12538" width="14.7109375" customWidth="1"/>
    <col min="12539" max="12539" width="7.85546875" bestFit="1" customWidth="1"/>
    <col min="12788" max="12788" width="37.42578125" bestFit="1" customWidth="1"/>
    <col min="12789" max="12789" width="13.85546875" bestFit="1" customWidth="1"/>
    <col min="12790" max="12790" width="13.42578125" customWidth="1"/>
    <col min="12791" max="12791" width="7.85546875" bestFit="1" customWidth="1"/>
    <col min="12792" max="12792" width="13.28515625" customWidth="1"/>
    <col min="12793" max="12793" width="7.7109375" bestFit="1" customWidth="1"/>
    <col min="12794" max="12794" width="14.7109375" customWidth="1"/>
    <col min="12795" max="12795" width="7.85546875" bestFit="1" customWidth="1"/>
    <col min="13044" max="13044" width="37.42578125" bestFit="1" customWidth="1"/>
    <col min="13045" max="13045" width="13.85546875" bestFit="1" customWidth="1"/>
    <col min="13046" max="13046" width="13.42578125" customWidth="1"/>
    <col min="13047" max="13047" width="7.85546875" bestFit="1" customWidth="1"/>
    <col min="13048" max="13048" width="13.28515625" customWidth="1"/>
    <col min="13049" max="13049" width="7.7109375" bestFit="1" customWidth="1"/>
    <col min="13050" max="13050" width="14.7109375" customWidth="1"/>
    <col min="13051" max="13051" width="7.85546875" bestFit="1" customWidth="1"/>
    <col min="13300" max="13300" width="37.42578125" bestFit="1" customWidth="1"/>
    <col min="13301" max="13301" width="13.85546875" bestFit="1" customWidth="1"/>
    <col min="13302" max="13302" width="13.42578125" customWidth="1"/>
    <col min="13303" max="13303" width="7.85546875" bestFit="1" customWidth="1"/>
    <col min="13304" max="13304" width="13.28515625" customWidth="1"/>
    <col min="13305" max="13305" width="7.7109375" bestFit="1" customWidth="1"/>
    <col min="13306" max="13306" width="14.7109375" customWidth="1"/>
    <col min="13307" max="13307" width="7.85546875" bestFit="1" customWidth="1"/>
    <col min="13556" max="13556" width="37.42578125" bestFit="1" customWidth="1"/>
    <col min="13557" max="13557" width="13.85546875" bestFit="1" customWidth="1"/>
    <col min="13558" max="13558" width="13.42578125" customWidth="1"/>
    <col min="13559" max="13559" width="7.85546875" bestFit="1" customWidth="1"/>
    <col min="13560" max="13560" width="13.28515625" customWidth="1"/>
    <col min="13561" max="13561" width="7.7109375" bestFit="1" customWidth="1"/>
    <col min="13562" max="13562" width="14.7109375" customWidth="1"/>
    <col min="13563" max="13563" width="7.85546875" bestFit="1" customWidth="1"/>
    <col min="13812" max="13812" width="37.42578125" bestFit="1" customWidth="1"/>
    <col min="13813" max="13813" width="13.85546875" bestFit="1" customWidth="1"/>
    <col min="13814" max="13814" width="13.42578125" customWidth="1"/>
    <col min="13815" max="13815" width="7.85546875" bestFit="1" customWidth="1"/>
    <col min="13816" max="13816" width="13.28515625" customWidth="1"/>
    <col min="13817" max="13817" width="7.7109375" bestFit="1" customWidth="1"/>
    <col min="13818" max="13818" width="14.7109375" customWidth="1"/>
    <col min="13819" max="13819" width="7.85546875" bestFit="1" customWidth="1"/>
    <col min="14068" max="14068" width="37.42578125" bestFit="1" customWidth="1"/>
    <col min="14069" max="14069" width="13.85546875" bestFit="1" customWidth="1"/>
    <col min="14070" max="14070" width="13.42578125" customWidth="1"/>
    <col min="14071" max="14071" width="7.85546875" bestFit="1" customWidth="1"/>
    <col min="14072" max="14072" width="13.28515625" customWidth="1"/>
    <col min="14073" max="14073" width="7.7109375" bestFit="1" customWidth="1"/>
    <col min="14074" max="14074" width="14.7109375" customWidth="1"/>
    <col min="14075" max="14075" width="7.85546875" bestFit="1" customWidth="1"/>
    <col min="14324" max="14324" width="37.42578125" bestFit="1" customWidth="1"/>
    <col min="14325" max="14325" width="13.85546875" bestFit="1" customWidth="1"/>
    <col min="14326" max="14326" width="13.42578125" customWidth="1"/>
    <col min="14327" max="14327" width="7.85546875" bestFit="1" customWidth="1"/>
    <col min="14328" max="14328" width="13.28515625" customWidth="1"/>
    <col min="14329" max="14329" width="7.7109375" bestFit="1" customWidth="1"/>
    <col min="14330" max="14330" width="14.7109375" customWidth="1"/>
    <col min="14331" max="14331" width="7.85546875" bestFit="1" customWidth="1"/>
    <col min="14580" max="14580" width="37.42578125" bestFit="1" customWidth="1"/>
    <col min="14581" max="14581" width="13.85546875" bestFit="1" customWidth="1"/>
    <col min="14582" max="14582" width="13.42578125" customWidth="1"/>
    <col min="14583" max="14583" width="7.85546875" bestFit="1" customWidth="1"/>
    <col min="14584" max="14584" width="13.28515625" customWidth="1"/>
    <col min="14585" max="14585" width="7.7109375" bestFit="1" customWidth="1"/>
    <col min="14586" max="14586" width="14.7109375" customWidth="1"/>
    <col min="14587" max="14587" width="7.85546875" bestFit="1" customWidth="1"/>
    <col min="14836" max="14836" width="37.42578125" bestFit="1" customWidth="1"/>
    <col min="14837" max="14837" width="13.85546875" bestFit="1" customWidth="1"/>
    <col min="14838" max="14838" width="13.42578125" customWidth="1"/>
    <col min="14839" max="14839" width="7.85546875" bestFit="1" customWidth="1"/>
    <col min="14840" max="14840" width="13.28515625" customWidth="1"/>
    <col min="14841" max="14841" width="7.7109375" bestFit="1" customWidth="1"/>
    <col min="14842" max="14842" width="14.7109375" customWidth="1"/>
    <col min="14843" max="14843" width="7.85546875" bestFit="1" customWidth="1"/>
    <col min="15092" max="15092" width="37.42578125" bestFit="1" customWidth="1"/>
    <col min="15093" max="15093" width="13.85546875" bestFit="1" customWidth="1"/>
    <col min="15094" max="15094" width="13.42578125" customWidth="1"/>
    <col min="15095" max="15095" width="7.85546875" bestFit="1" customWidth="1"/>
    <col min="15096" max="15096" width="13.28515625" customWidth="1"/>
    <col min="15097" max="15097" width="7.7109375" bestFit="1" customWidth="1"/>
    <col min="15098" max="15098" width="14.7109375" customWidth="1"/>
    <col min="15099" max="15099" width="7.85546875" bestFit="1" customWidth="1"/>
    <col min="15348" max="15348" width="37.42578125" bestFit="1" customWidth="1"/>
    <col min="15349" max="15349" width="13.85546875" bestFit="1" customWidth="1"/>
    <col min="15350" max="15350" width="13.42578125" customWidth="1"/>
    <col min="15351" max="15351" width="7.85546875" bestFit="1" customWidth="1"/>
    <col min="15352" max="15352" width="13.28515625" customWidth="1"/>
    <col min="15353" max="15353" width="7.7109375" bestFit="1" customWidth="1"/>
    <col min="15354" max="15354" width="14.7109375" customWidth="1"/>
    <col min="15355" max="15355" width="7.85546875" bestFit="1" customWidth="1"/>
    <col min="15604" max="15604" width="37.42578125" bestFit="1" customWidth="1"/>
    <col min="15605" max="15605" width="13.85546875" bestFit="1" customWidth="1"/>
    <col min="15606" max="15606" width="13.42578125" customWidth="1"/>
    <col min="15607" max="15607" width="7.85546875" bestFit="1" customWidth="1"/>
    <col min="15608" max="15608" width="13.28515625" customWidth="1"/>
    <col min="15609" max="15609" width="7.7109375" bestFit="1" customWidth="1"/>
    <col min="15610" max="15610" width="14.7109375" customWidth="1"/>
    <col min="15611" max="15611" width="7.85546875" bestFit="1" customWidth="1"/>
    <col min="15860" max="15860" width="37.42578125" bestFit="1" customWidth="1"/>
    <col min="15861" max="15861" width="13.85546875" bestFit="1" customWidth="1"/>
    <col min="15862" max="15862" width="13.42578125" customWidth="1"/>
    <col min="15863" max="15863" width="7.85546875" bestFit="1" customWidth="1"/>
    <col min="15864" max="15864" width="13.28515625" customWidth="1"/>
    <col min="15865" max="15865" width="7.7109375" bestFit="1" customWidth="1"/>
    <col min="15866" max="15866" width="14.7109375" customWidth="1"/>
    <col min="15867" max="15867" width="7.85546875" bestFit="1" customWidth="1"/>
    <col min="16116" max="16116" width="37.42578125" bestFit="1" customWidth="1"/>
    <col min="16117" max="16117" width="13.85546875" bestFit="1" customWidth="1"/>
    <col min="16118" max="16118" width="13.42578125" customWidth="1"/>
    <col min="16119" max="16119" width="7.85546875" bestFit="1" customWidth="1"/>
    <col min="16120" max="16120" width="13.28515625" customWidth="1"/>
    <col min="16121" max="16121" width="7.7109375" bestFit="1" customWidth="1"/>
    <col min="16122" max="16122" width="14.7109375" customWidth="1"/>
    <col min="16123" max="16123" width="7.85546875" bestFit="1" customWidth="1"/>
  </cols>
  <sheetData>
    <row r="3" spans="2:17" ht="15.75" thickBot="1" x14ac:dyDescent="0.3">
      <c r="J3" s="40">
        <f>+J11</f>
        <v>26019</v>
      </c>
    </row>
    <row r="4" spans="2:17" ht="26.25" customHeight="1" x14ac:dyDescent="0.25">
      <c r="B4" s="471" t="s">
        <v>0</v>
      </c>
      <c r="C4" s="473" t="s">
        <v>78</v>
      </c>
      <c r="D4" s="473"/>
      <c r="E4" s="473"/>
      <c r="F4" s="474" t="s">
        <v>34</v>
      </c>
      <c r="G4" s="474"/>
      <c r="H4" s="476" t="s">
        <v>81</v>
      </c>
      <c r="I4" s="477"/>
      <c r="J4" s="480" t="s">
        <v>29</v>
      </c>
      <c r="K4" s="481"/>
      <c r="L4" s="465" t="s">
        <v>31</v>
      </c>
      <c r="M4" s="469"/>
      <c r="N4" s="465" t="s">
        <v>82</v>
      </c>
      <c r="O4" s="466"/>
    </row>
    <row r="5" spans="2:17" ht="46.9" customHeight="1" x14ac:dyDescent="0.25">
      <c r="B5" s="472"/>
      <c r="C5" s="141" t="s">
        <v>79</v>
      </c>
      <c r="D5" s="141" t="s">
        <v>80</v>
      </c>
      <c r="E5" s="140" t="s">
        <v>1</v>
      </c>
      <c r="F5" s="475"/>
      <c r="G5" s="475"/>
      <c r="H5" s="478"/>
      <c r="I5" s="479"/>
      <c r="J5" s="482"/>
      <c r="K5" s="483"/>
      <c r="L5" s="467"/>
      <c r="M5" s="470"/>
      <c r="N5" s="467"/>
      <c r="O5" s="468"/>
    </row>
    <row r="6" spans="2:17" ht="14.45" customHeight="1" x14ac:dyDescent="0.25">
      <c r="B6" s="116" t="s">
        <v>2</v>
      </c>
      <c r="C6" s="2"/>
      <c r="D6" s="195">
        <f>+D24/D9</f>
        <v>0.19564880167532769</v>
      </c>
      <c r="E6" s="2"/>
      <c r="F6" s="2"/>
      <c r="G6" s="2"/>
      <c r="H6" s="2"/>
      <c r="I6" s="2"/>
      <c r="J6" s="65"/>
      <c r="K6" s="59"/>
      <c r="L6" s="58"/>
      <c r="M6" s="59"/>
      <c r="N6" s="195">
        <f>+N24/N9</f>
        <v>0.19401081680098944</v>
      </c>
      <c r="O6" s="149"/>
    </row>
    <row r="7" spans="2:17" ht="16.5" x14ac:dyDescent="0.25">
      <c r="B7" s="116" t="s">
        <v>3</v>
      </c>
      <c r="C7" s="4">
        <f>+Q7/1000</f>
        <v>24051.555</v>
      </c>
      <c r="D7" s="41">
        <v>25135</v>
      </c>
      <c r="E7" s="53">
        <f>D7/D11</f>
        <v>0.76428375954024386</v>
      </c>
      <c r="F7" s="4">
        <f>11951+1931+(1931/31*8)</f>
        <v>14380.322580645161</v>
      </c>
      <c r="G7" s="5">
        <f>F7/D7</f>
        <v>0.5721234366678003</v>
      </c>
      <c r="H7" s="4">
        <v>24984</v>
      </c>
      <c r="I7" s="53">
        <f>H7/D7</f>
        <v>0.99399244081957427</v>
      </c>
      <c r="J7" s="46">
        <v>25135</v>
      </c>
      <c r="K7" s="60">
        <f>+J7/H7</f>
        <v>1.0060438680755683</v>
      </c>
      <c r="L7" s="41">
        <v>25135</v>
      </c>
      <c r="M7" s="53">
        <f>+L7/H7</f>
        <v>1.0060438680755683</v>
      </c>
      <c r="N7" s="41">
        <v>26400</v>
      </c>
      <c r="O7" s="118">
        <f>+N7/H7</f>
        <v>1.0566762728146013</v>
      </c>
      <c r="Q7" s="142">
        <v>24051555</v>
      </c>
    </row>
    <row r="8" spans="2:17" ht="20.45" customHeight="1" x14ac:dyDescent="0.25">
      <c r="B8" s="116" t="s">
        <v>4</v>
      </c>
      <c r="C8" s="4">
        <f>+Q8/1000</f>
        <v>981.16899999999998</v>
      </c>
      <c r="D8" s="41">
        <v>651</v>
      </c>
      <c r="E8" s="53">
        <f>D8/D11</f>
        <v>1.9795055797123484E-2</v>
      </c>
      <c r="F8" s="37">
        <f>393+66+(66/31*8)</f>
        <v>476.0322580645161</v>
      </c>
      <c r="G8" s="5">
        <f>F8/D8</f>
        <v>0.73123234725732122</v>
      </c>
      <c r="H8" s="4">
        <v>1608</v>
      </c>
      <c r="I8" s="53">
        <f>H8/D8</f>
        <v>2.4700460829493087</v>
      </c>
      <c r="J8" s="46">
        <f>26000*3.4/100</f>
        <v>884</v>
      </c>
      <c r="K8" s="60">
        <f t="shared" ref="K8:K9" si="0">+J8/H8</f>
        <v>0.54975124378109452</v>
      </c>
      <c r="L8" s="41">
        <v>884</v>
      </c>
      <c r="M8" s="53">
        <f t="shared" ref="M8:M25" si="1">+L8/H8</f>
        <v>0.54975124378109452</v>
      </c>
      <c r="N8" s="41">
        <f>+Intereses!N10+1</f>
        <v>2134.4914849704746</v>
      </c>
      <c r="O8" s="118">
        <f>+N8/H8</f>
        <v>1.3274200777179568</v>
      </c>
      <c r="Q8" s="142">
        <v>981169</v>
      </c>
    </row>
    <row r="9" spans="2:17" ht="16.5" x14ac:dyDescent="0.25">
      <c r="B9" s="119" t="s">
        <v>5</v>
      </c>
      <c r="C9" s="30">
        <f>+C7+C8</f>
        <v>25032.724000000002</v>
      </c>
      <c r="D9" s="43">
        <f>SUM(D7:D8)</f>
        <v>25786</v>
      </c>
      <c r="E9" s="151">
        <f>D9/D11</f>
        <v>0.78407881533736734</v>
      </c>
      <c r="F9" s="30">
        <f>+F7+F8</f>
        <v>14856.354838709678</v>
      </c>
      <c r="G9" s="31">
        <f>F9/D9</f>
        <v>0.57614034122041724</v>
      </c>
      <c r="H9" s="30">
        <f>+H7+H8</f>
        <v>26592</v>
      </c>
      <c r="I9" s="71">
        <f>H9/D9</f>
        <v>1.0312572713875747</v>
      </c>
      <c r="J9" s="43">
        <f>SUM(J7:J8)</f>
        <v>26019</v>
      </c>
      <c r="K9" s="72">
        <f t="shared" si="0"/>
        <v>0.97845216606498198</v>
      </c>
      <c r="L9" s="43">
        <f>SUM(L7:L8)</f>
        <v>26019</v>
      </c>
      <c r="M9" s="71">
        <f t="shared" si="1"/>
        <v>0.97845216606498198</v>
      </c>
      <c r="N9" s="43">
        <f>SUM(N7:N8)</f>
        <v>28534.491484970473</v>
      </c>
      <c r="O9" s="120">
        <f>+N9/H9</f>
        <v>1.0730479649883602</v>
      </c>
      <c r="Q9" s="143">
        <f>SUM(Q7:Q8)</f>
        <v>25032724</v>
      </c>
    </row>
    <row r="10" spans="2:17" ht="23.45" customHeight="1" x14ac:dyDescent="0.3">
      <c r="B10" s="121" t="s">
        <v>6</v>
      </c>
      <c r="C10" s="14"/>
      <c r="D10" s="42">
        <f>5860+229-13+2-679+450+25-50-25+37+1+1264</f>
        <v>7101</v>
      </c>
      <c r="E10" s="61">
        <f>D10/D11</f>
        <v>0.21592118466263266</v>
      </c>
      <c r="F10" s="16"/>
      <c r="G10" s="16"/>
      <c r="H10" s="14">
        <v>2641</v>
      </c>
      <c r="I10" s="28">
        <f>H10/D10</f>
        <v>0.37191944796507537</v>
      </c>
      <c r="J10" s="47">
        <v>0</v>
      </c>
      <c r="K10" s="61"/>
      <c r="L10" s="42">
        <v>1133</v>
      </c>
      <c r="M10" s="54">
        <f t="shared" si="1"/>
        <v>0.42900416508898143</v>
      </c>
      <c r="N10" s="42">
        <v>7711</v>
      </c>
      <c r="O10" s="122">
        <f>+N10/H10</f>
        <v>2.9197273759939417</v>
      </c>
      <c r="Q10" s="144"/>
    </row>
    <row r="11" spans="2:17" ht="19.899999999999999" customHeight="1" x14ac:dyDescent="0.25">
      <c r="B11" s="123" t="s">
        <v>7</v>
      </c>
      <c r="C11" s="33">
        <f>+C9+C10</f>
        <v>25032.724000000002</v>
      </c>
      <c r="D11" s="44">
        <f>SUM(D9:D10)</f>
        <v>32887</v>
      </c>
      <c r="E11" s="152">
        <f>D11/D11</f>
        <v>1</v>
      </c>
      <c r="F11" s="33">
        <f>+F9+F10</f>
        <v>14856.354838709678</v>
      </c>
      <c r="G11" s="34">
        <f>F11/D11</f>
        <v>0.45173943621217133</v>
      </c>
      <c r="H11" s="33">
        <f>+H10+H9</f>
        <v>29233</v>
      </c>
      <c r="I11" s="34">
        <f>H11/D11</f>
        <v>0.8888922674613069</v>
      </c>
      <c r="J11" s="44">
        <f>SUM(J9:J10)</f>
        <v>26019</v>
      </c>
      <c r="K11" s="60">
        <f t="shared" ref="K11:K25" si="2">+J11/H11</f>
        <v>0.89005575890261002</v>
      </c>
      <c r="L11" s="44">
        <f>SUM(L9:L10)</f>
        <v>27152</v>
      </c>
      <c r="M11" s="53">
        <f t="shared" si="1"/>
        <v>0.92881332740396128</v>
      </c>
      <c r="N11" s="44">
        <f>SUM(N9:N10)</f>
        <v>36245.491484970473</v>
      </c>
      <c r="O11" s="118">
        <f>+N11/H11</f>
        <v>1.2398827176468536</v>
      </c>
      <c r="Q11" s="145">
        <f>+Q9+Q10</f>
        <v>25032724</v>
      </c>
    </row>
    <row r="12" spans="2:17" x14ac:dyDescent="0.25">
      <c r="B12" s="116" t="s">
        <v>8</v>
      </c>
      <c r="C12" s="18"/>
      <c r="D12" s="18"/>
      <c r="E12" s="62"/>
      <c r="F12" s="18"/>
      <c r="G12" s="18"/>
      <c r="H12" s="18"/>
      <c r="I12" s="19"/>
      <c r="J12" s="48"/>
      <c r="K12" s="62"/>
      <c r="L12" s="18"/>
      <c r="M12" s="55"/>
      <c r="N12" s="18"/>
      <c r="O12" s="124"/>
      <c r="Q12" s="146"/>
    </row>
    <row r="13" spans="2:17" ht="16.5" x14ac:dyDescent="0.25">
      <c r="B13" s="125" t="s">
        <v>9</v>
      </c>
      <c r="C13" s="33">
        <f>+C17+C22+C25</f>
        <v>19322.455999999998</v>
      </c>
      <c r="D13" s="33">
        <f>+D17+D22+D25</f>
        <v>32887</v>
      </c>
      <c r="E13" s="152">
        <v>1</v>
      </c>
      <c r="F13" s="33">
        <f>+F17+F22+F25</f>
        <v>22061</v>
      </c>
      <c r="G13" s="34">
        <f>F13/D13</f>
        <v>0.67081217502356549</v>
      </c>
      <c r="H13" s="33">
        <f>+H17+H22+H25</f>
        <v>29261.679</v>
      </c>
      <c r="I13" s="34">
        <f>H13/D13</f>
        <v>0.88976431416669199</v>
      </c>
      <c r="J13" s="49">
        <f>+J17+J22+J25</f>
        <v>26019.390521123758</v>
      </c>
      <c r="K13" s="60">
        <f t="shared" si="2"/>
        <v>0.88919677237672379</v>
      </c>
      <c r="L13" s="33">
        <f>+L17+L22+L25</f>
        <v>27152</v>
      </c>
      <c r="M13" s="53">
        <f t="shared" si="1"/>
        <v>0.92790300925657754</v>
      </c>
      <c r="N13" s="33">
        <f>+N17+N22+N25</f>
        <v>35380</v>
      </c>
      <c r="O13" s="118">
        <f>+N13/H13</f>
        <v>1.2090898816845062</v>
      </c>
      <c r="Q13" s="143">
        <f>+Q17+Q21+Q25</f>
        <v>19322456</v>
      </c>
    </row>
    <row r="14" spans="2:17" x14ac:dyDescent="0.25">
      <c r="B14" s="116" t="s">
        <v>10</v>
      </c>
      <c r="C14" s="21"/>
      <c r="D14" s="45"/>
      <c r="E14" s="64"/>
      <c r="F14" s="2"/>
      <c r="G14" s="2"/>
      <c r="H14" s="21"/>
      <c r="I14" s="2"/>
      <c r="J14" s="73"/>
      <c r="K14" s="63"/>
      <c r="L14" s="45"/>
      <c r="M14" s="126"/>
      <c r="N14" s="45"/>
      <c r="O14" s="127"/>
      <c r="Q14" s="146"/>
    </row>
    <row r="15" spans="2:17" ht="16.5" x14ac:dyDescent="0.25">
      <c r="B15" s="116" t="s">
        <v>11</v>
      </c>
      <c r="C15" s="12">
        <f>+Q15/1000</f>
        <v>7762.4350000000004</v>
      </c>
      <c r="D15" s="12">
        <f>+H92+H93</f>
        <v>14178</v>
      </c>
      <c r="E15" s="7">
        <f>D15/D13</f>
        <v>0.43111259768297505</v>
      </c>
      <c r="F15" s="11">
        <v>10122</v>
      </c>
      <c r="G15" s="5">
        <f>F15/D15</f>
        <v>0.71392297926364789</v>
      </c>
      <c r="H15" s="12">
        <f>+H63+H64</f>
        <v>12971</v>
      </c>
      <c r="I15" s="7">
        <f>H15/D15</f>
        <v>0.9148681055155875</v>
      </c>
      <c r="J15" s="50">
        <f>12030.5715204804-205</f>
        <v>11825.5715204804</v>
      </c>
      <c r="K15" s="60">
        <f t="shared" si="2"/>
        <v>0.91169312469974562</v>
      </c>
      <c r="L15" s="12">
        <f>11970+680-11+86</f>
        <v>12725</v>
      </c>
      <c r="M15" s="53">
        <f t="shared" si="1"/>
        <v>0.98103461568113481</v>
      </c>
      <c r="N15" s="12">
        <f>+H34+H35+1</f>
        <v>14604</v>
      </c>
      <c r="O15" s="118">
        <f>+N15/H15</f>
        <v>1.1258962300516537</v>
      </c>
      <c r="P15" s="109"/>
      <c r="Q15" s="147">
        <v>7762435</v>
      </c>
    </row>
    <row r="16" spans="2:17" ht="16.5" x14ac:dyDescent="0.25">
      <c r="B16" s="116" t="s">
        <v>12</v>
      </c>
      <c r="C16" s="12">
        <f>+Q16/1000</f>
        <v>8054.1530000000002</v>
      </c>
      <c r="D16" s="12">
        <f>+H94+H97+H98+H99</f>
        <v>12600</v>
      </c>
      <c r="E16" s="7">
        <f>D16/D13</f>
        <v>0.38313011220239002</v>
      </c>
      <c r="F16" s="11">
        <f>9291+351</f>
        <v>9642</v>
      </c>
      <c r="G16" s="5">
        <f>F16/D16</f>
        <v>0.76523809523809527</v>
      </c>
      <c r="H16" s="12">
        <f>+H65+H68+H69+H70</f>
        <v>12194</v>
      </c>
      <c r="I16" s="7">
        <f>H16/D16</f>
        <v>0.96777777777777774</v>
      </c>
      <c r="J16" s="50">
        <f>9791.81900064336+205</f>
        <v>9996.8190006433597</v>
      </c>
      <c r="K16" s="60">
        <f t="shared" si="2"/>
        <v>0.81981458099420701</v>
      </c>
      <c r="L16" s="12">
        <f>9702+453-11+86</f>
        <v>10230</v>
      </c>
      <c r="M16" s="53">
        <f t="shared" si="1"/>
        <v>0.8389371822207643</v>
      </c>
      <c r="N16" s="12">
        <f>+H36+H39+H40+H41</f>
        <v>13179</v>
      </c>
      <c r="O16" s="118">
        <f>+N16/H16</f>
        <v>1.0807774315237002</v>
      </c>
      <c r="Q16" s="147">
        <v>8054153</v>
      </c>
    </row>
    <row r="17" spans="2:17" ht="16.5" x14ac:dyDescent="0.25">
      <c r="B17" s="119" t="s">
        <v>13</v>
      </c>
      <c r="C17" s="30">
        <f>+C15+C16</f>
        <v>15816.588</v>
      </c>
      <c r="D17" s="30">
        <f>+D16+D15</f>
        <v>26778</v>
      </c>
      <c r="E17" s="31">
        <f>D17/D13</f>
        <v>0.81424270988536507</v>
      </c>
      <c r="F17" s="30">
        <f>+F15+F16</f>
        <v>19764</v>
      </c>
      <c r="G17" s="31">
        <f>F17/D17</f>
        <v>0.73806856374635899</v>
      </c>
      <c r="H17" s="30">
        <f>+H16+H15</f>
        <v>25165</v>
      </c>
      <c r="I17" s="31">
        <f>H17/D17</f>
        <v>0.93976398536111738</v>
      </c>
      <c r="J17" s="30">
        <f>+J16+J15</f>
        <v>21822.390521123758</v>
      </c>
      <c r="K17" s="72">
        <f t="shared" si="2"/>
        <v>0.8671722837720548</v>
      </c>
      <c r="L17" s="30">
        <f>+L16+L15</f>
        <v>22955</v>
      </c>
      <c r="M17" s="71">
        <f t="shared" si="1"/>
        <v>0.91217961454400953</v>
      </c>
      <c r="N17" s="30">
        <f>+N16+N15</f>
        <v>27783</v>
      </c>
      <c r="O17" s="118">
        <f>+N17/H17</f>
        <v>1.1040333796940194</v>
      </c>
      <c r="Q17" s="148">
        <f>+Q15+Q16</f>
        <v>15816588</v>
      </c>
    </row>
    <row r="18" spans="2:17" x14ac:dyDescent="0.25">
      <c r="B18" s="129" t="s">
        <v>14</v>
      </c>
      <c r="C18" s="21"/>
      <c r="D18" s="21"/>
      <c r="E18" s="64"/>
      <c r="F18" s="21"/>
      <c r="G18" s="2"/>
      <c r="H18" s="21"/>
      <c r="I18" s="2"/>
      <c r="J18" s="51"/>
      <c r="K18" s="64"/>
      <c r="L18" s="21"/>
      <c r="M18" s="56"/>
      <c r="N18" s="21"/>
      <c r="O18" s="130"/>
      <c r="Q18" s="146"/>
    </row>
    <row r="19" spans="2:17" ht="16.5" x14ac:dyDescent="0.25">
      <c r="B19" s="116" t="s">
        <v>15</v>
      </c>
      <c r="C19" s="12">
        <f>+Q19/1000</f>
        <v>311.78500000000003</v>
      </c>
      <c r="D19" s="6">
        <f>+H102</f>
        <v>714</v>
      </c>
      <c r="E19" s="7">
        <f>D19/D13</f>
        <v>2.1710706358135434E-2</v>
      </c>
      <c r="F19" s="4">
        <v>332</v>
      </c>
      <c r="G19" s="5">
        <f>F19/D19</f>
        <v>0.46498599439775912</v>
      </c>
      <c r="H19" s="6">
        <f>+H73</f>
        <v>675</v>
      </c>
      <c r="I19" s="7">
        <f>H19/D19</f>
        <v>0.94537815126050417</v>
      </c>
      <c r="J19" s="52">
        <v>373</v>
      </c>
      <c r="K19" s="60">
        <f t="shared" si="2"/>
        <v>0.55259259259259264</v>
      </c>
      <c r="L19" s="6">
        <v>373</v>
      </c>
      <c r="M19" s="53">
        <f t="shared" si="1"/>
        <v>0.55259259259259264</v>
      </c>
      <c r="N19" s="6">
        <f>+H44</f>
        <v>1249</v>
      </c>
      <c r="O19" s="118">
        <f>+N19/H19</f>
        <v>1.8503703703703704</v>
      </c>
      <c r="Q19" s="147">
        <v>311785</v>
      </c>
    </row>
    <row r="20" spans="2:17" ht="16.5" x14ac:dyDescent="0.25">
      <c r="B20" s="116" t="s">
        <v>16</v>
      </c>
      <c r="C20" s="12">
        <f>+Q20/1000</f>
        <v>160.404</v>
      </c>
      <c r="D20" s="6">
        <f>+H105</f>
        <v>350</v>
      </c>
      <c r="E20" s="7">
        <f>D20/D13</f>
        <v>1.0642503116733055E-2</v>
      </c>
      <c r="F20" s="4">
        <v>92</v>
      </c>
      <c r="G20" s="5">
        <f>F20/D20</f>
        <v>0.26285714285714284</v>
      </c>
      <c r="H20" s="6">
        <f>+H76</f>
        <v>288</v>
      </c>
      <c r="I20" s="7">
        <f>H20/D20</f>
        <v>0.82285714285714284</v>
      </c>
      <c r="J20" s="52">
        <v>349</v>
      </c>
      <c r="K20" s="60">
        <f t="shared" si="2"/>
        <v>1.2118055555555556</v>
      </c>
      <c r="L20" s="6">
        <v>349</v>
      </c>
      <c r="M20" s="53">
        <f t="shared" si="1"/>
        <v>1.2118055555555556</v>
      </c>
      <c r="N20" s="6">
        <f>+H46</f>
        <v>468</v>
      </c>
      <c r="O20" s="118">
        <f>+N20/H20</f>
        <v>1.625</v>
      </c>
      <c r="Q20" s="147">
        <v>160404</v>
      </c>
    </row>
    <row r="21" spans="2:17" ht="16.5" x14ac:dyDescent="0.25">
      <c r="B21" s="116" t="s">
        <v>83</v>
      </c>
      <c r="C21" s="6"/>
      <c r="D21" s="6"/>
      <c r="E21" s="7"/>
      <c r="F21" s="4"/>
      <c r="G21" s="5"/>
      <c r="H21" s="6"/>
      <c r="I21" s="7"/>
      <c r="J21" s="52"/>
      <c r="K21" s="60"/>
      <c r="L21" s="150"/>
      <c r="M21" s="53"/>
      <c r="N21" s="150">
        <f>+H48</f>
        <v>344</v>
      </c>
      <c r="O21" s="118"/>
      <c r="Q21" s="148">
        <f>SUM(Q19:Q20)</f>
        <v>472189</v>
      </c>
    </row>
    <row r="22" spans="2:17" ht="16.5" x14ac:dyDescent="0.25">
      <c r="B22" s="128" t="s">
        <v>17</v>
      </c>
      <c r="C22" s="9">
        <f>+C20+C19</f>
        <v>472.18900000000002</v>
      </c>
      <c r="D22" s="30">
        <f>+D20+D19</f>
        <v>1064</v>
      </c>
      <c r="E22" s="31">
        <f>D22/D13</f>
        <v>3.2353209474868486E-2</v>
      </c>
      <c r="F22" s="30">
        <f>+F19+F20</f>
        <v>424</v>
      </c>
      <c r="G22" s="31">
        <f>F22/D22</f>
        <v>0.39849624060150374</v>
      </c>
      <c r="H22" s="30">
        <f>+H20+H19</f>
        <v>963</v>
      </c>
      <c r="I22" s="31">
        <f>H22/D22</f>
        <v>0.90507518796992481</v>
      </c>
      <c r="J22" s="202">
        <f>+J20+J19</f>
        <v>722</v>
      </c>
      <c r="K22" s="72">
        <f t="shared" si="2"/>
        <v>0.74974039460020769</v>
      </c>
      <c r="L22" s="202">
        <f>+L20+L19</f>
        <v>722</v>
      </c>
      <c r="M22" s="71">
        <f t="shared" si="1"/>
        <v>0.74974039460020769</v>
      </c>
      <c r="N22" s="202">
        <f>+N20+N19+N21</f>
        <v>2061</v>
      </c>
      <c r="O22" s="118">
        <f>+N22/H22</f>
        <v>2.1401869158878504</v>
      </c>
      <c r="Q22" s="148"/>
    </row>
    <row r="23" spans="2:17" x14ac:dyDescent="0.25">
      <c r="B23" s="116" t="s">
        <v>18</v>
      </c>
      <c r="C23" s="21"/>
      <c r="D23" s="21"/>
      <c r="E23" s="2"/>
      <c r="F23" s="21"/>
      <c r="G23" s="2"/>
      <c r="H23" s="21"/>
      <c r="I23" s="2"/>
      <c r="J23" s="51"/>
      <c r="K23" s="64"/>
      <c r="L23" s="21"/>
      <c r="M23" s="56"/>
      <c r="N23" s="21"/>
      <c r="O23" s="130"/>
      <c r="Q23" s="146"/>
    </row>
    <row r="24" spans="2:17" ht="16.5" x14ac:dyDescent="0.25">
      <c r="B24" s="116" t="s">
        <v>19</v>
      </c>
      <c r="C24" s="12">
        <f>+Q24/1000</f>
        <v>3033.6790000000001</v>
      </c>
      <c r="D24" s="12">
        <f>+H110+1350</f>
        <v>5045</v>
      </c>
      <c r="E24" s="7">
        <f>D24/D13</f>
        <v>0.15340408063976646</v>
      </c>
      <c r="F24" s="4">
        <f>1209+90+283+126+165</f>
        <v>1873</v>
      </c>
      <c r="G24" s="5">
        <f>F24/D24</f>
        <v>0.37125867195242812</v>
      </c>
      <c r="H24" s="12">
        <f>+C24+100</f>
        <v>3133.6790000000001</v>
      </c>
      <c r="I24" s="7">
        <f>H24/D24</f>
        <v>0.62114549058473734</v>
      </c>
      <c r="J24" s="50">
        <v>3475</v>
      </c>
      <c r="K24" s="60">
        <f t="shared" si="2"/>
        <v>1.1089202180567952</v>
      </c>
      <c r="L24" s="12">
        <v>3475</v>
      </c>
      <c r="M24" s="53">
        <f t="shared" si="1"/>
        <v>1.1089202180567952</v>
      </c>
      <c r="N24" s="12">
        <f>+H52+1514</f>
        <v>5536</v>
      </c>
      <c r="O24" s="118">
        <f>+N24/H24</f>
        <v>1.7666136193273145</v>
      </c>
      <c r="Q24" s="147">
        <f>19322456-Q21-Q17</f>
        <v>3033679</v>
      </c>
    </row>
    <row r="25" spans="2:17" ht="16.899999999999999" customHeight="1" x14ac:dyDescent="0.25">
      <c r="B25" s="128" t="s">
        <v>20</v>
      </c>
      <c r="C25" s="30">
        <f>+C24</f>
        <v>3033.6790000000001</v>
      </c>
      <c r="D25" s="30">
        <f>+D24</f>
        <v>5045</v>
      </c>
      <c r="E25" s="31">
        <f>D25/D13</f>
        <v>0.15340408063976646</v>
      </c>
      <c r="F25" s="30">
        <f>+F24</f>
        <v>1873</v>
      </c>
      <c r="G25" s="31">
        <f>F25/D25</f>
        <v>0.37125867195242812</v>
      </c>
      <c r="H25" s="30">
        <f>+H24</f>
        <v>3133.6790000000001</v>
      </c>
      <c r="I25" s="31">
        <f>H25/D25</f>
        <v>0.62114549058473734</v>
      </c>
      <c r="J25" s="30">
        <f>+J24</f>
        <v>3475</v>
      </c>
      <c r="K25" s="72">
        <f t="shared" si="2"/>
        <v>1.1089202180567952</v>
      </c>
      <c r="L25" s="30">
        <f>+L24</f>
        <v>3475</v>
      </c>
      <c r="M25" s="71">
        <f t="shared" si="1"/>
        <v>1.1089202180567952</v>
      </c>
      <c r="N25" s="30">
        <f>+N24</f>
        <v>5536</v>
      </c>
      <c r="O25" s="118">
        <f>+N25/H25</f>
        <v>1.7666136193273145</v>
      </c>
      <c r="Q25" s="148">
        <f>SUM(Q24)</f>
        <v>3033679</v>
      </c>
    </row>
    <row r="26" spans="2:17" ht="18" hidden="1" x14ac:dyDescent="0.25">
      <c r="B26" s="131" t="s">
        <v>21</v>
      </c>
      <c r="C26" s="26"/>
      <c r="D26" s="26"/>
      <c r="E26" s="26"/>
      <c r="F26" s="26"/>
      <c r="G26" s="26"/>
      <c r="H26" s="27">
        <f>+H11-H13</f>
        <v>-28.679000000000087</v>
      </c>
      <c r="I26" s="19"/>
      <c r="J26" s="132"/>
      <c r="K26" s="126"/>
      <c r="L26" s="133"/>
      <c r="M26" s="126"/>
      <c r="N26" s="19"/>
      <c r="O26" s="19"/>
    </row>
    <row r="27" spans="2:17" hidden="1" x14ac:dyDescent="0.25">
      <c r="B27" s="135"/>
      <c r="C27" s="136"/>
      <c r="D27" s="136"/>
      <c r="E27" s="136"/>
      <c r="F27" s="136"/>
      <c r="G27" s="136"/>
      <c r="H27" s="136"/>
      <c r="I27" s="136"/>
      <c r="J27" s="132"/>
      <c r="K27" s="126"/>
      <c r="L27" s="133"/>
      <c r="M27" s="126"/>
      <c r="N27" s="126"/>
      <c r="O27" s="134"/>
    </row>
    <row r="28" spans="2:17" ht="17.25" hidden="1" thickBot="1" x14ac:dyDescent="0.3">
      <c r="B28" s="137" t="s">
        <v>75</v>
      </c>
      <c r="C28" s="138">
        <v>0</v>
      </c>
      <c r="D28" s="138">
        <v>0</v>
      </c>
      <c r="E28" s="138"/>
      <c r="F28" s="138"/>
      <c r="G28" s="138"/>
      <c r="H28" s="138">
        <f>+H11-H13</f>
        <v>-28.679000000000087</v>
      </c>
      <c r="I28" s="138"/>
      <c r="J28" s="138">
        <f>+J11-J13</f>
        <v>-0.39052112375793513</v>
      </c>
      <c r="K28" s="138"/>
      <c r="L28" s="138">
        <f>+L11-L13</f>
        <v>0</v>
      </c>
      <c r="M28" s="138"/>
      <c r="N28" s="138">
        <f>+N11-N13</f>
        <v>865.49148497047281</v>
      </c>
      <c r="O28" s="139"/>
    </row>
    <row r="29" spans="2:17" x14ac:dyDescent="0.25">
      <c r="B29" s="20"/>
      <c r="C29" s="70"/>
      <c r="D29" s="70"/>
      <c r="E29" s="20"/>
      <c r="F29" s="20"/>
      <c r="G29" s="20"/>
      <c r="H29" s="20"/>
      <c r="I29" s="20"/>
      <c r="J29" s="66"/>
      <c r="K29" s="67"/>
      <c r="M29" s="67"/>
    </row>
    <row r="30" spans="2:17" x14ac:dyDescent="0.25">
      <c r="B30" t="s">
        <v>286</v>
      </c>
      <c r="C30" s="174">
        <f>145000+114105</f>
        <v>259105</v>
      </c>
      <c r="D30" s="38"/>
      <c r="F30" s="20"/>
      <c r="H30" s="20"/>
      <c r="N30" s="162"/>
    </row>
    <row r="31" spans="2:17" x14ac:dyDescent="0.25">
      <c r="C31" s="36"/>
      <c r="D31" s="38"/>
      <c r="F31" s="20"/>
      <c r="H31" s="20"/>
      <c r="N31" s="162"/>
      <c r="Q31" s="20">
        <f>19322456-Q21-Q17</f>
        <v>3033679</v>
      </c>
    </row>
    <row r="32" spans="2:17" ht="15.75" thickBot="1" x14ac:dyDescent="0.3">
      <c r="B32" s="176" t="s">
        <v>283</v>
      </c>
      <c r="C32" s="176" t="s">
        <v>280</v>
      </c>
      <c r="D32" s="177" t="s">
        <v>285</v>
      </c>
      <c r="E32" t="s">
        <v>89</v>
      </c>
      <c r="F32" s="177" t="s">
        <v>35</v>
      </c>
      <c r="G32" s="177" t="s">
        <v>35</v>
      </c>
      <c r="H32" s="187" t="s">
        <v>35</v>
      </c>
      <c r="I32" s="177"/>
      <c r="J32" s="177"/>
      <c r="K32" s="40"/>
      <c r="L32" s="36"/>
      <c r="M32" s="177" t="s">
        <v>281</v>
      </c>
      <c r="N32" s="177" t="s">
        <v>281</v>
      </c>
      <c r="O32" s="178" t="s">
        <v>41</v>
      </c>
    </row>
    <row r="33" spans="2:19" ht="20.25" thickBot="1" x14ac:dyDescent="0.35">
      <c r="B33" s="161" t="s">
        <v>282</v>
      </c>
      <c r="C33" s="172"/>
      <c r="D33" s="181"/>
      <c r="E33" s="181"/>
      <c r="F33" s="175"/>
      <c r="G33" s="175"/>
      <c r="H33" s="175"/>
      <c r="I33" s="175"/>
      <c r="J33" s="38"/>
      <c r="K33" s="38"/>
      <c r="L33" s="38"/>
      <c r="M33" s="38"/>
      <c r="N33" s="40"/>
      <c r="O33" s="40"/>
      <c r="Q33" s="40"/>
      <c r="R33" s="40"/>
      <c r="S33" s="40"/>
    </row>
    <row r="34" spans="2:19" ht="15.75" thickTop="1" x14ac:dyDescent="0.25">
      <c r="B34" s="179" t="s">
        <v>88</v>
      </c>
      <c r="C34" s="180">
        <v>13427500</v>
      </c>
      <c r="D34" s="182">
        <v>224889.84709200001</v>
      </c>
      <c r="E34" s="189">
        <v>62000</v>
      </c>
      <c r="F34" s="181"/>
      <c r="G34" s="181"/>
      <c r="H34" s="181">
        <f>ROUND((+E34+D34+C34)/1000,0)</f>
        <v>13714</v>
      </c>
      <c r="I34" s="181"/>
      <c r="J34" s="183"/>
      <c r="K34" s="183"/>
      <c r="L34" s="183"/>
      <c r="M34" s="183"/>
      <c r="N34" s="39">
        <v>130656.15833538814</v>
      </c>
      <c r="O34" s="38">
        <f>ROUND(N34/1000,0)+H34</f>
        <v>13845</v>
      </c>
      <c r="Q34" s="40"/>
      <c r="R34" s="40"/>
      <c r="S34" s="40"/>
    </row>
    <row r="35" spans="2:19" x14ac:dyDescent="0.25">
      <c r="B35" s="171" t="s">
        <v>42</v>
      </c>
      <c r="C35" s="184">
        <v>739059</v>
      </c>
      <c r="D35" s="184">
        <f>+C30*(C35/(C35+C40))</f>
        <v>149550.0330699659</v>
      </c>
      <c r="E35" s="190"/>
      <c r="F35" s="182"/>
      <c r="G35" s="182"/>
      <c r="H35" s="181">
        <f>ROUND((+E35+D35+C35)/1000,0)</f>
        <v>889</v>
      </c>
      <c r="I35" s="182"/>
      <c r="J35" s="186"/>
      <c r="K35" s="186"/>
      <c r="L35" s="186"/>
      <c r="M35" s="186" t="e">
        <f>+#REF!</f>
        <v>#REF!</v>
      </c>
      <c r="N35" s="39">
        <v>60385.232787972811</v>
      </c>
      <c r="O35" s="38">
        <f>ROUND(N35/1000,0)+H35</f>
        <v>949</v>
      </c>
      <c r="Q35" s="40"/>
      <c r="R35" s="40"/>
      <c r="S35" s="40"/>
    </row>
    <row r="36" spans="2:19" x14ac:dyDescent="0.25">
      <c r="B36" s="165" t="s">
        <v>93</v>
      </c>
      <c r="C36" s="38">
        <v>4550718</v>
      </c>
      <c r="D36" s="175"/>
      <c r="E36" s="190"/>
      <c r="F36" s="175"/>
      <c r="G36" s="175"/>
      <c r="H36" s="181">
        <f>ROUND((+E36+D36+C36)/1000,0)</f>
        <v>4551</v>
      </c>
      <c r="I36" s="175"/>
      <c r="J36" s="38"/>
      <c r="K36" s="38"/>
      <c r="L36" s="38"/>
      <c r="M36" s="38"/>
      <c r="N36" s="39">
        <v>63809.029602407449</v>
      </c>
      <c r="O36" s="38">
        <f>ROUND(N36/1000,0)+H36</f>
        <v>4615</v>
      </c>
      <c r="Q36" s="40"/>
      <c r="R36" s="40"/>
      <c r="S36" s="40"/>
    </row>
    <row r="37" spans="2:19" x14ac:dyDescent="0.25">
      <c r="C37" s="38"/>
      <c r="D37" s="175"/>
      <c r="E37" s="173"/>
      <c r="F37" s="175"/>
      <c r="G37" s="175"/>
      <c r="H37" s="175"/>
      <c r="I37" s="175"/>
      <c r="J37" s="38"/>
      <c r="K37" s="38"/>
      <c r="L37" s="38"/>
      <c r="M37" s="38"/>
      <c r="O37" s="38"/>
      <c r="Q37" s="40"/>
      <c r="R37" s="40"/>
      <c r="S37" s="40"/>
    </row>
    <row r="38" spans="2:19" ht="20.25" thickBot="1" x14ac:dyDescent="0.35">
      <c r="B38" s="161" t="s">
        <v>284</v>
      </c>
      <c r="C38" s="38"/>
      <c r="D38" s="175"/>
      <c r="E38" s="173"/>
      <c r="F38" s="175"/>
      <c r="G38" s="175"/>
      <c r="H38" s="175"/>
      <c r="I38" s="175"/>
      <c r="J38" s="38"/>
      <c r="K38" s="38"/>
      <c r="L38" s="38"/>
      <c r="M38" s="38"/>
      <c r="O38" s="38"/>
      <c r="Q38" s="40"/>
      <c r="R38" s="40"/>
      <c r="S38" s="40"/>
    </row>
    <row r="39" spans="2:19" ht="15.75" thickTop="1" x14ac:dyDescent="0.25">
      <c r="B39" s="165" t="s">
        <v>87</v>
      </c>
      <c r="C39" s="38">
        <v>7265929</v>
      </c>
      <c r="D39" s="175"/>
      <c r="E39" s="173"/>
      <c r="F39" s="175"/>
      <c r="G39" s="175"/>
      <c r="H39" s="181">
        <f>ROUND((+E39+D39+C39)/1000,0)</f>
        <v>7266</v>
      </c>
      <c r="I39" s="175"/>
      <c r="J39" s="38"/>
      <c r="K39" s="38"/>
      <c r="L39" s="38"/>
      <c r="M39" s="38"/>
      <c r="N39" s="39">
        <v>101881.0391349213</v>
      </c>
      <c r="O39" s="38">
        <f>ROUND(N39/1000,0)+H39</f>
        <v>7368</v>
      </c>
      <c r="Q39" s="40"/>
      <c r="R39" s="40"/>
      <c r="S39" s="40"/>
    </row>
    <row r="40" spans="2:19" x14ac:dyDescent="0.25">
      <c r="B40" s="164" t="s">
        <v>42</v>
      </c>
      <c r="C40" s="38">
        <v>541408</v>
      </c>
      <c r="D40" s="184">
        <f>+C30*(C40/(C40+C35))</f>
        <v>109554.96693003412</v>
      </c>
      <c r="E40" s="173"/>
      <c r="F40" s="175"/>
      <c r="G40" s="175"/>
      <c r="H40" s="181">
        <f>ROUND((+E40+D40+C40)/1000,0)</f>
        <v>651</v>
      </c>
      <c r="I40" s="175"/>
      <c r="J40" s="38"/>
      <c r="K40" s="38"/>
      <c r="L40" s="38"/>
      <c r="M40" s="38"/>
      <c r="N40" s="39">
        <v>44236.046260543175</v>
      </c>
      <c r="O40" s="38">
        <f>ROUND(N40/1000,0)+H40</f>
        <v>695</v>
      </c>
      <c r="Q40" s="40"/>
      <c r="R40" s="40"/>
      <c r="S40" s="40"/>
    </row>
    <row r="41" spans="2:19" x14ac:dyDescent="0.25">
      <c r="B41" s="164" t="s">
        <v>94</v>
      </c>
      <c r="C41" s="38">
        <v>622792</v>
      </c>
      <c r="D41" s="175">
        <v>85524.63</v>
      </c>
      <c r="E41" s="190">
        <v>2200</v>
      </c>
      <c r="F41" s="175"/>
      <c r="G41" s="175"/>
      <c r="H41" s="181">
        <f>ROUND((+E41+D41+C41)/1000,0)</f>
        <v>711</v>
      </c>
      <c r="I41" s="175"/>
      <c r="J41" s="38"/>
      <c r="K41" s="38"/>
      <c r="L41" s="38"/>
      <c r="M41" s="38"/>
      <c r="N41" s="39">
        <v>19609.042082191783</v>
      </c>
      <c r="O41" s="38">
        <f>ROUND(N41/1000,0)+H41</f>
        <v>731</v>
      </c>
      <c r="Q41" s="57"/>
    </row>
    <row r="42" spans="2:19" x14ac:dyDescent="0.25">
      <c r="C42" s="38"/>
      <c r="D42" s="175"/>
      <c r="E42" s="173"/>
      <c r="F42" s="175"/>
      <c r="G42" s="175"/>
      <c r="H42" s="175"/>
      <c r="I42" s="175"/>
      <c r="J42" s="38"/>
      <c r="K42" s="38"/>
      <c r="L42" s="38"/>
      <c r="M42" s="38"/>
      <c r="O42" s="38"/>
    </row>
    <row r="43" spans="2:19" ht="20.25" thickBot="1" x14ac:dyDescent="0.35">
      <c r="B43" s="161" t="s">
        <v>90</v>
      </c>
      <c r="C43" s="38"/>
      <c r="D43" s="175"/>
      <c r="E43" s="190"/>
      <c r="F43" s="175"/>
      <c r="G43" s="175"/>
      <c r="H43" s="175"/>
      <c r="I43" s="175"/>
      <c r="J43" s="38"/>
      <c r="K43" s="38"/>
      <c r="L43" s="38"/>
      <c r="M43" s="38"/>
      <c r="O43" s="38"/>
    </row>
    <row r="44" spans="2:19" ht="15.75" thickTop="1" x14ac:dyDescent="0.25">
      <c r="C44" s="38">
        <v>492000</v>
      </c>
      <c r="D44" s="175">
        <v>200641.12418400001</v>
      </c>
      <c r="E44" s="173">
        <v>556800</v>
      </c>
      <c r="F44" s="175"/>
      <c r="G44" s="175"/>
      <c r="H44" s="181">
        <f>ROUND((+E44+D44+C44)/1000,0)</f>
        <v>1249</v>
      </c>
      <c r="I44" s="175"/>
      <c r="J44" s="38"/>
      <c r="K44" s="38"/>
      <c r="L44" s="38"/>
      <c r="M44" s="38"/>
      <c r="N44" s="39">
        <v>90580.469538812788</v>
      </c>
      <c r="O44" s="38">
        <f>ROUND(N44/1000,0)+H44</f>
        <v>1340</v>
      </c>
    </row>
    <row r="45" spans="2:19" x14ac:dyDescent="0.25">
      <c r="C45" s="38"/>
      <c r="D45" s="175"/>
      <c r="E45" s="173"/>
      <c r="F45" s="175"/>
      <c r="G45" s="175"/>
      <c r="H45" s="175"/>
      <c r="I45" s="175"/>
      <c r="J45" s="38"/>
      <c r="K45" s="38"/>
      <c r="L45" s="38"/>
      <c r="M45" s="38"/>
      <c r="O45" s="38"/>
    </row>
    <row r="46" spans="2:19" ht="20.25" thickBot="1" x14ac:dyDescent="0.35">
      <c r="B46" s="161" t="s">
        <v>91</v>
      </c>
      <c r="C46" s="38"/>
      <c r="D46" s="175">
        <v>157367.07078400001</v>
      </c>
      <c r="E46" s="190">
        <v>310800</v>
      </c>
      <c r="F46" s="175"/>
      <c r="G46" s="175"/>
      <c r="H46" s="181">
        <f>ROUND((+E46+D46+C46)/1000,0)</f>
        <v>468</v>
      </c>
      <c r="I46" s="175"/>
      <c r="J46" s="38"/>
      <c r="K46" s="38"/>
      <c r="L46" s="38"/>
      <c r="M46" s="38"/>
      <c r="N46" s="39">
        <v>87609.443388127853</v>
      </c>
      <c r="O46" s="38">
        <f>ROUND(N46/1000,0)+H46</f>
        <v>556</v>
      </c>
    </row>
    <row r="47" spans="2:19" ht="15.75" thickTop="1" x14ac:dyDescent="0.25">
      <c r="C47" s="38"/>
      <c r="D47" s="175"/>
      <c r="E47" s="173"/>
      <c r="F47" s="175"/>
      <c r="G47" s="175"/>
      <c r="H47" s="175"/>
      <c r="I47" s="175"/>
      <c r="J47" s="38"/>
      <c r="K47" s="38"/>
      <c r="L47" s="38"/>
      <c r="M47" s="38"/>
      <c r="O47" s="38"/>
    </row>
    <row r="48" spans="2:19" ht="20.25" thickBot="1" x14ac:dyDescent="0.35">
      <c r="B48" s="161" t="s">
        <v>287</v>
      </c>
      <c r="C48" s="38"/>
      <c r="D48" s="175">
        <v>108338.87</v>
      </c>
      <c r="E48" s="173">
        <v>236000</v>
      </c>
      <c r="F48" s="175"/>
      <c r="G48" s="175"/>
      <c r="H48" s="181">
        <f>ROUND((+E48+D48+C48)/1000,0)</f>
        <v>344</v>
      </c>
      <c r="I48" s="175"/>
      <c r="J48" s="38"/>
      <c r="K48" s="38"/>
      <c r="L48" s="38"/>
      <c r="M48" s="38"/>
      <c r="O48" s="38">
        <f>ROUND(N48/1000,0)+H48</f>
        <v>344</v>
      </c>
    </row>
    <row r="49" spans="2:15" ht="15.75" thickTop="1" x14ac:dyDescent="0.25">
      <c r="C49" s="38"/>
      <c r="D49" s="175"/>
      <c r="E49" s="175"/>
      <c r="F49" s="175"/>
      <c r="G49" s="175"/>
      <c r="H49" s="175"/>
      <c r="I49" s="175"/>
      <c r="J49" s="38"/>
      <c r="K49" s="38"/>
      <c r="L49" s="38"/>
      <c r="M49" s="38"/>
      <c r="O49" s="38"/>
    </row>
    <row r="50" spans="2:15" x14ac:dyDescent="0.25">
      <c r="B50" s="188" t="s">
        <v>13</v>
      </c>
      <c r="C50" s="38">
        <f>SUM(C34:C48)</f>
        <v>27639406</v>
      </c>
      <c r="D50" s="38">
        <f>SUM(D34:D48)</f>
        <v>1035866.54206</v>
      </c>
      <c r="E50" s="40">
        <f>SUM(E34:E48)</f>
        <v>1167800</v>
      </c>
      <c r="F50" s="175"/>
      <c r="G50" s="175"/>
      <c r="H50" s="40">
        <f>SUM(H34:H48)</f>
        <v>29843</v>
      </c>
      <c r="I50" s="175"/>
      <c r="J50" s="38"/>
      <c r="K50" s="38"/>
      <c r="L50" s="38"/>
      <c r="M50" s="38"/>
      <c r="N50" s="40">
        <v>598766.46113036526</v>
      </c>
      <c r="O50" s="40">
        <f>SUM(O34:O48)</f>
        <v>30443</v>
      </c>
    </row>
    <row r="51" spans="2:15" x14ac:dyDescent="0.25">
      <c r="C51" s="38"/>
      <c r="D51" s="185"/>
      <c r="E51" s="175"/>
      <c r="F51" s="175"/>
      <c r="G51" s="175"/>
      <c r="H51" s="175"/>
      <c r="I51" s="175"/>
      <c r="J51" s="38"/>
      <c r="K51" s="38"/>
      <c r="L51" s="38"/>
      <c r="M51" s="38"/>
      <c r="O51" s="38"/>
    </row>
    <row r="52" spans="2:15" x14ac:dyDescent="0.25">
      <c r="B52" s="188" t="s">
        <v>92</v>
      </c>
      <c r="C52" s="38"/>
      <c r="D52" s="175"/>
      <c r="E52" s="175"/>
      <c r="F52" s="175"/>
      <c r="G52" s="175"/>
      <c r="H52" s="173">
        <f>35379-H50-1514</f>
        <v>4022</v>
      </c>
      <c r="I52" s="175"/>
      <c r="J52" s="38"/>
      <c r="K52" s="38"/>
      <c r="L52" s="38"/>
      <c r="M52" s="38"/>
      <c r="N52" s="39">
        <v>915235.53886963474</v>
      </c>
      <c r="O52" s="40">
        <f>ROUND(N52/1000,0)+H52</f>
        <v>4937</v>
      </c>
    </row>
    <row r="53" spans="2:15" x14ac:dyDescent="0.25">
      <c r="C53" s="38"/>
      <c r="D53" s="175"/>
      <c r="E53" s="175"/>
      <c r="F53" s="175"/>
      <c r="G53" s="175"/>
      <c r="H53" s="175"/>
      <c r="I53" s="175"/>
      <c r="J53" s="38"/>
      <c r="K53" s="38"/>
      <c r="L53" s="38"/>
      <c r="M53" s="38"/>
      <c r="O53" s="38"/>
    </row>
    <row r="54" spans="2:15" x14ac:dyDescent="0.25">
      <c r="C54" s="38"/>
      <c r="D54" s="185"/>
      <c r="E54" s="175"/>
      <c r="F54" s="175"/>
      <c r="G54" s="175"/>
      <c r="H54" s="175"/>
      <c r="I54" s="175"/>
      <c r="J54" s="38"/>
      <c r="K54" s="38"/>
      <c r="L54" s="38"/>
      <c r="M54" s="38"/>
      <c r="O54" s="38"/>
    </row>
    <row r="55" spans="2:15" x14ac:dyDescent="0.25">
      <c r="B55" s="188" t="s">
        <v>288</v>
      </c>
      <c r="C55" s="38"/>
      <c r="D55" s="175"/>
      <c r="E55" s="175"/>
      <c r="F55" s="175"/>
      <c r="G55" s="175"/>
      <c r="H55" s="175"/>
      <c r="I55" s="175"/>
      <c r="J55" s="38"/>
      <c r="K55" s="38"/>
      <c r="L55" s="38"/>
      <c r="M55" s="38"/>
      <c r="O55" s="38">
        <f>+O52+O50</f>
        <v>35380</v>
      </c>
    </row>
    <row r="56" spans="2:15" x14ac:dyDescent="0.25">
      <c r="C56" s="38"/>
      <c r="D56" s="175"/>
      <c r="E56" s="175"/>
      <c r="F56" s="175"/>
      <c r="G56" s="175"/>
      <c r="H56" s="175"/>
      <c r="I56" s="175"/>
      <c r="J56" s="38"/>
      <c r="K56" s="38"/>
      <c r="L56" s="38"/>
      <c r="M56" s="38"/>
      <c r="O56" s="38"/>
    </row>
    <row r="57" spans="2:15" x14ac:dyDescent="0.25">
      <c r="C57" s="38"/>
      <c r="D57" s="175"/>
      <c r="E57" s="175"/>
      <c r="F57" s="175"/>
      <c r="G57" s="175"/>
      <c r="H57" s="175"/>
      <c r="I57" s="175"/>
      <c r="J57" s="38"/>
      <c r="K57" s="38"/>
      <c r="L57" s="38"/>
      <c r="M57" s="38"/>
      <c r="O57" s="38"/>
    </row>
    <row r="58" spans="2:15" x14ac:dyDescent="0.25">
      <c r="C58" s="38"/>
      <c r="D58" s="175"/>
      <c r="E58" s="175"/>
      <c r="F58" s="175"/>
      <c r="G58" s="175"/>
      <c r="H58" s="175"/>
      <c r="I58" s="175"/>
      <c r="J58" s="38"/>
      <c r="K58" s="38"/>
      <c r="L58" s="38"/>
      <c r="M58" s="38"/>
      <c r="O58" s="38"/>
    </row>
    <row r="59" spans="2:15" ht="22.5" x14ac:dyDescent="0.3">
      <c r="B59" s="160">
        <v>2013</v>
      </c>
      <c r="C59" s="38"/>
      <c r="D59" s="175"/>
      <c r="E59" s="175"/>
      <c r="F59" s="175"/>
      <c r="G59" s="175"/>
      <c r="H59" s="175"/>
      <c r="I59" s="175"/>
      <c r="J59" s="38"/>
      <c r="K59" s="38"/>
      <c r="L59" s="38"/>
      <c r="M59" s="38"/>
      <c r="O59" s="38"/>
    </row>
    <row r="60" spans="2:15" x14ac:dyDescent="0.25"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O60" s="38"/>
    </row>
    <row r="61" spans="2:15" ht="15.75" thickBot="1" x14ac:dyDescent="0.3">
      <c r="B61" s="176" t="s">
        <v>283</v>
      </c>
      <c r="C61" s="176" t="s">
        <v>280</v>
      </c>
      <c r="D61" s="177" t="s">
        <v>285</v>
      </c>
      <c r="E61" t="s">
        <v>89</v>
      </c>
      <c r="F61" s="177" t="s">
        <v>35</v>
      </c>
      <c r="G61" s="177" t="s">
        <v>35</v>
      </c>
      <c r="H61" s="187" t="s">
        <v>35</v>
      </c>
      <c r="I61" s="177"/>
      <c r="J61" s="177"/>
      <c r="K61" s="40"/>
      <c r="L61" s="36"/>
      <c r="M61" s="177" t="s">
        <v>281</v>
      </c>
      <c r="N61" s="177" t="s">
        <v>281</v>
      </c>
      <c r="O61" s="178" t="s">
        <v>41</v>
      </c>
    </row>
    <row r="62" spans="2:15" ht="20.25" thickBot="1" x14ac:dyDescent="0.35">
      <c r="B62" s="161" t="s">
        <v>282</v>
      </c>
      <c r="C62" s="172"/>
      <c r="D62" s="181"/>
      <c r="E62" s="181"/>
      <c r="F62" s="175"/>
      <c r="G62" s="175"/>
      <c r="H62" s="175"/>
      <c r="I62" s="175"/>
      <c r="J62" s="38"/>
      <c r="K62" s="38"/>
      <c r="L62" s="38"/>
      <c r="M62" s="38"/>
      <c r="N62" s="40"/>
      <c r="O62" s="40"/>
    </row>
    <row r="63" spans="2:15" ht="15.75" thickTop="1" x14ac:dyDescent="0.25">
      <c r="B63" s="179" t="s">
        <v>88</v>
      </c>
      <c r="C63" s="180">
        <v>12766000</v>
      </c>
      <c r="D63" s="182"/>
      <c r="E63" s="189"/>
      <c r="F63" s="181"/>
      <c r="G63" s="181"/>
      <c r="H63" s="181">
        <f>ROUND((+E63+D63+C63)/1000,0)</f>
        <v>12766</v>
      </c>
      <c r="I63" s="181"/>
      <c r="J63" s="183"/>
      <c r="K63" s="183"/>
      <c r="L63" s="183"/>
      <c r="M63" s="183"/>
      <c r="N63" s="39">
        <v>117</v>
      </c>
      <c r="O63" s="38">
        <f>+N63+H63</f>
        <v>12883</v>
      </c>
    </row>
    <row r="64" spans="2:15" x14ac:dyDescent="0.25">
      <c r="B64" s="171" t="s">
        <v>42</v>
      </c>
      <c r="C64" s="184">
        <v>204920</v>
      </c>
      <c r="D64" s="184">
        <f>+C59*(C64/(C64+C69))</f>
        <v>0</v>
      </c>
      <c r="E64" s="190"/>
      <c r="F64" s="182"/>
      <c r="G64" s="182"/>
      <c r="H64" s="181">
        <f>ROUND((+E64+D64+C64)/1000,0)</f>
        <v>205</v>
      </c>
      <c r="I64" s="182"/>
      <c r="J64" s="186"/>
      <c r="K64" s="186"/>
      <c r="L64" s="186"/>
      <c r="M64" s="186" t="e">
        <f>+#REF!</f>
        <v>#REF!</v>
      </c>
      <c r="N64" s="39">
        <v>19</v>
      </c>
      <c r="O64" s="38">
        <f>ROUND(+N64+H64,0)</f>
        <v>224</v>
      </c>
    </row>
    <row r="65" spans="2:15" x14ac:dyDescent="0.25">
      <c r="B65" s="165" t="s">
        <v>93</v>
      </c>
      <c r="C65" s="38">
        <v>3959335</v>
      </c>
      <c r="D65" s="175"/>
      <c r="E65" s="190"/>
      <c r="F65" s="175"/>
      <c r="G65" s="175"/>
      <c r="H65" s="181">
        <f>ROUND((+E65+D65+C65)/1000,0)</f>
        <v>3959</v>
      </c>
      <c r="I65" s="175"/>
      <c r="J65" s="38"/>
      <c r="K65" s="38"/>
      <c r="L65" s="38"/>
      <c r="M65" s="38"/>
      <c r="N65" s="39">
        <v>57</v>
      </c>
      <c r="O65" s="38">
        <f>ROUND(+N65+H65,0)</f>
        <v>4016</v>
      </c>
    </row>
    <row r="66" spans="2:15" x14ac:dyDescent="0.25">
      <c r="C66" s="38"/>
      <c r="D66" s="175"/>
      <c r="E66" s="173"/>
      <c r="F66" s="175"/>
      <c r="G66" s="175"/>
      <c r="H66" s="175"/>
      <c r="I66" s="175"/>
      <c r="J66" s="38"/>
      <c r="K66" s="38"/>
      <c r="L66" s="38"/>
      <c r="M66" s="38"/>
      <c r="O66" s="38"/>
    </row>
    <row r="67" spans="2:15" ht="20.25" thickBot="1" x14ac:dyDescent="0.35">
      <c r="B67" s="161" t="s">
        <v>284</v>
      </c>
      <c r="C67" s="38"/>
      <c r="D67" s="175"/>
      <c r="E67" s="173"/>
      <c r="F67" s="175"/>
      <c r="G67" s="175"/>
      <c r="H67" s="175"/>
      <c r="I67" s="175"/>
      <c r="J67" s="38"/>
      <c r="K67" s="38"/>
      <c r="L67" s="38"/>
      <c r="M67" s="38"/>
      <c r="O67" s="38"/>
    </row>
    <row r="68" spans="2:15" ht="15.75" thickTop="1" x14ac:dyDescent="0.25">
      <c r="B68" s="165" t="s">
        <v>87</v>
      </c>
      <c r="C68" s="38">
        <v>6333121</v>
      </c>
      <c r="D68" s="175"/>
      <c r="E68" s="173"/>
      <c r="F68" s="175"/>
      <c r="G68" s="175"/>
      <c r="H68" s="181">
        <f>ROUND((+E68+D68+C68)/1000,0)</f>
        <v>6333</v>
      </c>
      <c r="I68" s="175"/>
      <c r="J68" s="38"/>
      <c r="K68" s="38"/>
      <c r="L68" s="38"/>
      <c r="M68" s="38"/>
      <c r="N68" s="39">
        <v>91</v>
      </c>
      <c r="O68" s="38">
        <f>ROUND(N68/1000,0)+H68</f>
        <v>6333</v>
      </c>
    </row>
    <row r="69" spans="2:15" x14ac:dyDescent="0.25">
      <c r="B69" s="164" t="s">
        <v>42</v>
      </c>
      <c r="C69" s="38">
        <v>808815</v>
      </c>
      <c r="D69" s="184">
        <f>+C59*(C69/(C69+C64))</f>
        <v>0</v>
      </c>
      <c r="E69" s="173"/>
      <c r="F69" s="175"/>
      <c r="G69" s="175"/>
      <c r="H69" s="181">
        <f>ROUND((+E69+D69+C69)/1000,0)</f>
        <v>809</v>
      </c>
      <c r="I69" s="175"/>
      <c r="J69" s="38"/>
      <c r="K69" s="38"/>
      <c r="L69" s="38"/>
      <c r="M69" s="38"/>
      <c r="N69" s="39">
        <v>74</v>
      </c>
      <c r="O69" s="38">
        <f>ROUND(+N69+H69,0)</f>
        <v>883</v>
      </c>
    </row>
    <row r="70" spans="2:15" x14ac:dyDescent="0.25">
      <c r="B70" s="164" t="s">
        <v>94</v>
      </c>
      <c r="C70" s="38">
        <v>1093427</v>
      </c>
      <c r="D70" s="175"/>
      <c r="E70" s="190"/>
      <c r="F70" s="175"/>
      <c r="G70" s="175"/>
      <c r="H70" s="181">
        <f>ROUND((+E70+D70+C70)/1000,0)</f>
        <v>1093</v>
      </c>
      <c r="I70" s="175"/>
      <c r="J70" s="38"/>
      <c r="K70" s="38"/>
      <c r="L70" s="38"/>
      <c r="M70" s="38"/>
      <c r="N70" s="39">
        <v>17</v>
      </c>
      <c r="O70" s="38">
        <f>ROUND(N70/1000,0)+H70</f>
        <v>1093</v>
      </c>
    </row>
    <row r="71" spans="2:15" x14ac:dyDescent="0.25">
      <c r="C71" s="38"/>
      <c r="D71" s="175"/>
      <c r="E71" s="173"/>
      <c r="F71" s="175"/>
      <c r="G71" s="175"/>
      <c r="H71" s="175"/>
      <c r="I71" s="175"/>
      <c r="J71" s="38"/>
      <c r="K71" s="38"/>
      <c r="L71" s="38"/>
      <c r="M71" s="38"/>
      <c r="O71" s="38"/>
    </row>
    <row r="72" spans="2:15" ht="20.25" thickBot="1" x14ac:dyDescent="0.35">
      <c r="B72" s="161" t="s">
        <v>90</v>
      </c>
      <c r="C72" s="38"/>
      <c r="D72" s="175"/>
      <c r="E72" s="190"/>
      <c r="F72" s="175"/>
      <c r="G72" s="175"/>
      <c r="H72" s="175"/>
      <c r="I72" s="175"/>
      <c r="J72" s="38"/>
      <c r="K72" s="38"/>
      <c r="L72" s="38"/>
      <c r="M72" s="38"/>
      <c r="O72" s="38"/>
    </row>
    <row r="73" spans="2:15" ht="15.75" thickTop="1" x14ac:dyDescent="0.25">
      <c r="C73" s="38">
        <v>538688</v>
      </c>
      <c r="D73" s="175">
        <v>136644</v>
      </c>
      <c r="E73" s="173"/>
      <c r="F73" s="175"/>
      <c r="G73" s="175"/>
      <c r="H73" s="181">
        <f>ROUND((+E73+D73+C73)/1000,0)</f>
        <v>675</v>
      </c>
      <c r="I73" s="175"/>
      <c r="J73" s="38"/>
      <c r="K73" s="38"/>
      <c r="L73" s="38"/>
      <c r="M73" s="38"/>
      <c r="N73" s="39">
        <v>81</v>
      </c>
      <c r="O73" s="38">
        <f>ROUND(N73/1000,0)+H73</f>
        <v>675</v>
      </c>
    </row>
    <row r="74" spans="2:15" x14ac:dyDescent="0.25">
      <c r="C74" s="38"/>
      <c r="D74" s="175"/>
      <c r="E74" s="173"/>
      <c r="F74" s="175"/>
      <c r="G74" s="175"/>
      <c r="H74" s="175"/>
      <c r="I74" s="175"/>
      <c r="J74" s="38"/>
      <c r="K74" s="38"/>
      <c r="L74" s="38"/>
      <c r="M74" s="38"/>
      <c r="O74" s="38"/>
    </row>
    <row r="75" spans="2:15" ht="20.25" thickBot="1" x14ac:dyDescent="0.35">
      <c r="B75" s="161" t="s">
        <v>91</v>
      </c>
      <c r="C75" s="38"/>
      <c r="D75" s="175"/>
      <c r="E75" s="190"/>
      <c r="F75" s="175"/>
      <c r="G75" s="175"/>
      <c r="H75" s="181"/>
      <c r="I75" s="175"/>
      <c r="J75" s="38"/>
      <c r="K75" s="38"/>
      <c r="L75" s="38"/>
      <c r="M75" s="38"/>
      <c r="N75" s="39"/>
      <c r="O75" s="38"/>
    </row>
    <row r="76" spans="2:15" ht="15.75" thickTop="1" x14ac:dyDescent="0.25">
      <c r="C76" s="38">
        <v>167200</v>
      </c>
      <c r="D76" s="175">
        <v>120909</v>
      </c>
      <c r="E76" s="173"/>
      <c r="F76" s="175"/>
      <c r="G76" s="175"/>
      <c r="H76" s="181">
        <f>ROUND((+E76+D76+C76)/1000,0)</f>
        <v>288</v>
      </c>
      <c r="I76" s="175"/>
      <c r="J76" s="38"/>
      <c r="K76" s="38"/>
      <c r="L76" s="38"/>
      <c r="M76" s="38"/>
      <c r="N76">
        <v>78</v>
      </c>
      <c r="O76" s="38">
        <f>+N76+H76</f>
        <v>366</v>
      </c>
    </row>
    <row r="77" spans="2:15" ht="20.25" thickBot="1" x14ac:dyDescent="0.35">
      <c r="B77" s="161" t="s">
        <v>287</v>
      </c>
      <c r="C77" s="38"/>
      <c r="D77" s="175"/>
      <c r="E77" s="173"/>
      <c r="F77" s="175"/>
      <c r="G77" s="175"/>
      <c r="H77" s="181"/>
      <c r="I77" s="175"/>
      <c r="J77" s="38"/>
      <c r="K77" s="38"/>
      <c r="L77" s="38"/>
      <c r="M77" s="38"/>
      <c r="O77" s="38"/>
    </row>
    <row r="78" spans="2:15" ht="15.75" thickTop="1" x14ac:dyDescent="0.25">
      <c r="C78" s="38"/>
      <c r="D78" s="175"/>
      <c r="E78" s="175"/>
      <c r="F78" s="175"/>
      <c r="G78" s="175"/>
      <c r="H78" s="175"/>
      <c r="I78" s="175"/>
      <c r="J78" s="38"/>
      <c r="K78" s="38"/>
      <c r="L78" s="38"/>
      <c r="M78" s="38"/>
      <c r="O78" s="38"/>
    </row>
    <row r="79" spans="2:15" x14ac:dyDescent="0.25">
      <c r="B79" s="188" t="s">
        <v>13</v>
      </c>
      <c r="C79" s="38">
        <f>SUM(C63:C77)</f>
        <v>25871506</v>
      </c>
      <c r="D79" s="38">
        <f>SUM(D63:D77)</f>
        <v>257553</v>
      </c>
      <c r="E79" s="40">
        <f>SUM(E63:E77)</f>
        <v>0</v>
      </c>
      <c r="F79" s="175"/>
      <c r="G79" s="175"/>
      <c r="H79" s="38">
        <f>SUM(H63:H77)</f>
        <v>26128</v>
      </c>
      <c r="I79" s="175"/>
      <c r="J79" s="38"/>
      <c r="K79" s="38"/>
      <c r="L79" s="38"/>
      <c r="M79" s="38"/>
      <c r="N79" s="38">
        <f>SUM(N63:N77)</f>
        <v>534</v>
      </c>
      <c r="O79" s="40">
        <f>SUM(O63:O77)</f>
        <v>26473</v>
      </c>
    </row>
    <row r="80" spans="2:15" x14ac:dyDescent="0.25">
      <c r="C80" s="38"/>
      <c r="D80" s="185"/>
      <c r="E80" s="175"/>
      <c r="F80" s="175"/>
      <c r="G80" s="175"/>
      <c r="H80" s="175"/>
      <c r="I80" s="175"/>
      <c r="J80" s="38"/>
      <c r="K80" s="38"/>
      <c r="L80" s="38"/>
      <c r="M80" s="38"/>
      <c r="O80" s="38"/>
    </row>
    <row r="81" spans="2:15" x14ac:dyDescent="0.25">
      <c r="B81" s="188" t="s">
        <v>92</v>
      </c>
      <c r="C81" s="38">
        <v>3284000</v>
      </c>
      <c r="D81" s="175"/>
      <c r="E81" s="175"/>
      <c r="F81" s="175"/>
      <c r="G81" s="175"/>
      <c r="H81" s="181">
        <f>3034+100</f>
        <v>3134</v>
      </c>
      <c r="I81" s="175"/>
      <c r="J81" s="38"/>
      <c r="K81" s="38"/>
      <c r="L81" s="38"/>
      <c r="M81" s="38"/>
      <c r="N81" s="39">
        <f>1350-N79</f>
        <v>816</v>
      </c>
      <c r="O81" s="38">
        <f>+N81+H81</f>
        <v>3950</v>
      </c>
    </row>
    <row r="82" spans="2:15" x14ac:dyDescent="0.25">
      <c r="C82" s="38"/>
      <c r="D82" s="175"/>
      <c r="E82" s="175"/>
      <c r="F82" s="175"/>
      <c r="G82" s="175"/>
      <c r="H82" s="175"/>
      <c r="I82" s="175"/>
      <c r="J82" s="38"/>
      <c r="K82" s="38"/>
      <c r="L82" s="38"/>
      <c r="M82" s="38"/>
      <c r="O82" s="38"/>
    </row>
    <row r="83" spans="2:15" x14ac:dyDescent="0.25">
      <c r="C83" s="38"/>
      <c r="D83" s="185"/>
      <c r="E83" s="175"/>
      <c r="F83" s="175"/>
      <c r="G83" s="175"/>
      <c r="H83" s="175"/>
      <c r="I83" s="175"/>
      <c r="J83" s="38"/>
      <c r="K83" s="38"/>
      <c r="L83" s="38"/>
      <c r="M83" s="38"/>
      <c r="O83" s="38"/>
    </row>
    <row r="84" spans="2:15" x14ac:dyDescent="0.25">
      <c r="B84" s="188" t="s">
        <v>288</v>
      </c>
      <c r="C84" s="38"/>
      <c r="D84" s="175"/>
      <c r="E84" s="175"/>
      <c r="F84" s="175"/>
      <c r="G84" s="175"/>
      <c r="H84" s="175"/>
      <c r="I84" s="175"/>
      <c r="J84" s="38"/>
      <c r="K84" s="38"/>
      <c r="L84" s="38"/>
      <c r="M84" s="38"/>
      <c r="O84" s="38">
        <f>+O81+O79</f>
        <v>30423</v>
      </c>
    </row>
    <row r="88" spans="2:15" ht="22.5" x14ac:dyDescent="0.3">
      <c r="B88" s="160" t="s">
        <v>289</v>
      </c>
      <c r="C88" s="38"/>
      <c r="D88" s="175"/>
      <c r="E88" s="175"/>
      <c r="F88" s="175"/>
      <c r="G88" s="175"/>
      <c r="H88" s="175"/>
      <c r="I88" s="175"/>
      <c r="J88" s="38"/>
      <c r="K88" s="38"/>
      <c r="L88" s="38"/>
      <c r="M88" s="38"/>
      <c r="O88" s="38"/>
    </row>
    <row r="89" spans="2:15" x14ac:dyDescent="0.25"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O89" s="38"/>
    </row>
    <row r="90" spans="2:15" ht="15.75" thickBot="1" x14ac:dyDescent="0.3">
      <c r="B90" s="176" t="s">
        <v>283</v>
      </c>
      <c r="C90" s="176" t="s">
        <v>280</v>
      </c>
      <c r="D90" s="177" t="s">
        <v>285</v>
      </c>
      <c r="E90" t="s">
        <v>89</v>
      </c>
      <c r="F90" s="177" t="s">
        <v>35</v>
      </c>
      <c r="G90" s="177" t="s">
        <v>35</v>
      </c>
      <c r="H90" s="187" t="s">
        <v>35</v>
      </c>
      <c r="I90" s="177"/>
      <c r="J90" s="177"/>
      <c r="K90" s="40"/>
      <c r="L90" s="36"/>
      <c r="M90" s="177" t="s">
        <v>281</v>
      </c>
      <c r="N90" s="177" t="s">
        <v>281</v>
      </c>
      <c r="O90" s="178" t="s">
        <v>41</v>
      </c>
    </row>
    <row r="91" spans="2:15" ht="20.25" thickBot="1" x14ac:dyDescent="0.35">
      <c r="B91" s="161" t="s">
        <v>282</v>
      </c>
      <c r="C91" s="172"/>
      <c r="D91" s="181"/>
      <c r="E91" s="181"/>
      <c r="F91" s="175"/>
      <c r="G91" s="175"/>
      <c r="H91" s="175"/>
      <c r="I91" s="175"/>
      <c r="J91" s="38"/>
      <c r="K91" s="38"/>
      <c r="L91" s="38"/>
      <c r="M91" s="38"/>
      <c r="N91" s="40"/>
      <c r="O91" s="40"/>
    </row>
    <row r="92" spans="2:15" ht="15.75" thickTop="1" x14ac:dyDescent="0.25">
      <c r="B92" s="179" t="s">
        <v>88</v>
      </c>
      <c r="C92" s="180">
        <v>13815000</v>
      </c>
      <c r="D92" s="182"/>
      <c r="E92" s="189"/>
      <c r="F92" s="181"/>
      <c r="G92" s="181"/>
      <c r="H92" s="181">
        <f>ROUND((+E92+D92+C92)/1000,0)</f>
        <v>13815</v>
      </c>
      <c r="I92" s="181"/>
      <c r="J92" s="183"/>
      <c r="K92" s="183"/>
      <c r="L92" s="183"/>
      <c r="M92" s="183"/>
      <c r="N92" s="39">
        <v>117</v>
      </c>
      <c r="O92" s="38">
        <f>+N92+H92</f>
        <v>13932</v>
      </c>
    </row>
    <row r="93" spans="2:15" x14ac:dyDescent="0.25">
      <c r="B93" s="171" t="s">
        <v>42</v>
      </c>
      <c r="C93" s="38">
        <v>199822</v>
      </c>
      <c r="D93" s="184">
        <v>23400</v>
      </c>
      <c r="E93" s="190">
        <v>139888.80000000002</v>
      </c>
      <c r="F93" s="182"/>
      <c r="G93" s="182"/>
      <c r="H93" s="181">
        <f>ROUND((+E93+D93+C93)/1000,0)</f>
        <v>363</v>
      </c>
      <c r="I93" s="182"/>
      <c r="J93" s="186"/>
      <c r="K93" s="186"/>
      <c r="L93" s="186"/>
      <c r="M93" s="186" t="e">
        <f>+#REF!</f>
        <v>#REF!</v>
      </c>
      <c r="N93" s="39">
        <v>19</v>
      </c>
      <c r="O93" s="38">
        <f>ROUND(+N93+H93,0)</f>
        <v>382</v>
      </c>
    </row>
    <row r="94" spans="2:15" x14ac:dyDescent="0.25">
      <c r="B94" s="165" t="s">
        <v>93</v>
      </c>
      <c r="C94" s="38">
        <v>4566266</v>
      </c>
      <c r="D94" s="175"/>
      <c r="E94" s="190"/>
      <c r="F94" s="175"/>
      <c r="G94" s="175"/>
      <c r="H94" s="181">
        <f>ROUND((+E94+D94+C94)/1000,0)</f>
        <v>4566</v>
      </c>
      <c r="I94" s="175"/>
      <c r="J94" s="38"/>
      <c r="K94" s="38"/>
      <c r="L94" s="38"/>
      <c r="M94" s="38"/>
      <c r="N94" s="39">
        <v>57</v>
      </c>
      <c r="O94" s="38">
        <f>ROUND(+N94+H94,0)</f>
        <v>4623</v>
      </c>
    </row>
    <row r="95" spans="2:15" x14ac:dyDescent="0.25">
      <c r="C95" s="38"/>
      <c r="D95" s="175"/>
      <c r="E95" s="173"/>
      <c r="F95" s="175"/>
      <c r="G95" s="175"/>
      <c r="H95" s="175"/>
      <c r="I95" s="175"/>
      <c r="J95" s="38"/>
      <c r="K95" s="38"/>
      <c r="L95" s="38"/>
      <c r="M95" s="38"/>
      <c r="O95" s="38"/>
    </row>
    <row r="96" spans="2:15" ht="20.25" thickBot="1" x14ac:dyDescent="0.35">
      <c r="B96" s="161" t="s">
        <v>284</v>
      </c>
      <c r="C96" s="38"/>
      <c r="D96" s="175"/>
      <c r="E96" s="173"/>
      <c r="F96" s="175"/>
      <c r="G96" s="175"/>
      <c r="H96" s="175"/>
      <c r="I96" s="175"/>
      <c r="J96" s="38"/>
      <c r="K96" s="38"/>
      <c r="L96" s="38"/>
      <c r="M96" s="38"/>
      <c r="O96" s="38"/>
    </row>
    <row r="97" spans="2:15" ht="15.75" thickTop="1" x14ac:dyDescent="0.25">
      <c r="B97" s="165" t="s">
        <v>87</v>
      </c>
      <c r="C97" s="38">
        <v>6527229</v>
      </c>
      <c r="D97" s="175"/>
      <c r="E97" s="173"/>
      <c r="F97" s="175"/>
      <c r="G97" s="175"/>
      <c r="H97" s="181">
        <f>ROUND((+E97+D97+C97)/1000,0)</f>
        <v>6527</v>
      </c>
      <c r="I97" s="175"/>
      <c r="J97" s="38"/>
      <c r="K97" s="38"/>
      <c r="L97" s="38"/>
      <c r="M97" s="38"/>
      <c r="N97" s="39">
        <v>91</v>
      </c>
      <c r="O97" s="38">
        <f>ROUND(N97/1000,0)+H97</f>
        <v>6527</v>
      </c>
    </row>
    <row r="98" spans="2:15" x14ac:dyDescent="0.25">
      <c r="B98" s="164" t="s">
        <v>42</v>
      </c>
      <c r="C98" s="38">
        <v>695734</v>
      </c>
      <c r="D98" s="184">
        <v>93600</v>
      </c>
      <c r="E98" s="173">
        <v>559555.20000000007</v>
      </c>
      <c r="F98" s="175"/>
      <c r="G98" s="175"/>
      <c r="H98" s="181">
        <f>ROUND((+E98+D98+C98)/1000,0)</f>
        <v>1349</v>
      </c>
      <c r="I98" s="175"/>
      <c r="J98" s="38"/>
      <c r="K98" s="38"/>
      <c r="L98" s="38"/>
      <c r="M98" s="38"/>
      <c r="N98" s="39">
        <v>74</v>
      </c>
      <c r="O98" s="38">
        <f>ROUND(+N98+H98,0)</f>
        <v>1423</v>
      </c>
    </row>
    <row r="99" spans="2:15" x14ac:dyDescent="0.25">
      <c r="B99" s="164" t="s">
        <v>94</v>
      </c>
      <c r="C99" s="38">
        <v>158000</v>
      </c>
      <c r="D99" s="175"/>
      <c r="E99" s="190"/>
      <c r="F99" s="175"/>
      <c r="G99" s="175"/>
      <c r="H99" s="181">
        <f>ROUND((+E99+D99+C99)/1000,0)</f>
        <v>158</v>
      </c>
      <c r="I99" s="175"/>
      <c r="J99" s="38"/>
      <c r="K99" s="38"/>
      <c r="L99" s="38"/>
      <c r="M99" s="38"/>
      <c r="N99" s="39">
        <v>17</v>
      </c>
      <c r="O99" s="38">
        <f>ROUND(N99/1000,0)+H99</f>
        <v>158</v>
      </c>
    </row>
    <row r="100" spans="2:15" x14ac:dyDescent="0.25">
      <c r="C100" s="38"/>
      <c r="D100" s="175"/>
      <c r="E100" s="173"/>
      <c r="F100" s="175"/>
      <c r="G100" s="175"/>
      <c r="H100" s="175"/>
      <c r="I100" s="175"/>
      <c r="J100" s="38"/>
      <c r="K100" s="38"/>
      <c r="L100" s="38"/>
      <c r="M100" s="38"/>
      <c r="O100" s="38"/>
    </row>
    <row r="101" spans="2:15" ht="20.25" thickBot="1" x14ac:dyDescent="0.35">
      <c r="B101" s="161" t="s">
        <v>90</v>
      </c>
      <c r="C101" s="38"/>
      <c r="D101" s="175"/>
      <c r="E101" s="190"/>
      <c r="F101" s="175"/>
      <c r="G101" s="175"/>
      <c r="H101" s="175"/>
      <c r="I101" s="175"/>
      <c r="J101" s="38"/>
      <c r="K101" s="38"/>
      <c r="L101" s="38"/>
      <c r="M101" s="38"/>
      <c r="O101" s="38"/>
    </row>
    <row r="102" spans="2:15" ht="15.75" thickTop="1" x14ac:dyDescent="0.25">
      <c r="C102" s="38">
        <v>568680</v>
      </c>
      <c r="D102" s="175">
        <v>145320</v>
      </c>
      <c r="E102" s="173"/>
      <c r="F102" s="175"/>
      <c r="G102" s="175"/>
      <c r="H102" s="181">
        <f>ROUND((+E102+D102+C102)/1000,0)</f>
        <v>714</v>
      </c>
      <c r="I102" s="175"/>
      <c r="J102" s="38"/>
      <c r="K102" s="38"/>
      <c r="L102" s="38"/>
      <c r="M102" s="38"/>
      <c r="N102" s="39">
        <v>81</v>
      </c>
      <c r="O102" s="38">
        <f>ROUND(N102/1000,0)+H102</f>
        <v>714</v>
      </c>
    </row>
    <row r="103" spans="2:15" x14ac:dyDescent="0.25">
      <c r="C103" s="38"/>
      <c r="D103" s="175"/>
      <c r="E103" s="173"/>
      <c r="F103" s="175"/>
      <c r="G103" s="175"/>
      <c r="H103" s="175"/>
      <c r="I103" s="175"/>
      <c r="J103" s="38"/>
      <c r="K103" s="38"/>
      <c r="L103" s="38"/>
      <c r="M103" s="38"/>
      <c r="O103" s="38"/>
    </row>
    <row r="104" spans="2:15" ht="20.25" thickBot="1" x14ac:dyDescent="0.35">
      <c r="B104" s="161" t="s">
        <v>91</v>
      </c>
      <c r="C104" s="38"/>
      <c r="D104" s="175"/>
      <c r="E104" s="190"/>
      <c r="F104" s="175"/>
      <c r="G104" s="175"/>
      <c r="H104" s="181"/>
      <c r="I104" s="175"/>
      <c r="J104" s="38"/>
      <c r="K104" s="38"/>
      <c r="L104" s="38"/>
      <c r="M104" s="38"/>
      <c r="N104" s="39"/>
      <c r="O104" s="38"/>
    </row>
    <row r="105" spans="2:15" ht="15.75" thickTop="1" x14ac:dyDescent="0.25">
      <c r="C105" s="38">
        <v>204525</v>
      </c>
      <c r="D105" s="175">
        <v>145475</v>
      </c>
      <c r="E105" s="173"/>
      <c r="F105" s="175"/>
      <c r="G105" s="175"/>
      <c r="H105" s="181">
        <f>ROUND((+E105+D105+C105)/1000,0)</f>
        <v>350</v>
      </c>
      <c r="I105" s="175"/>
      <c r="J105" s="38"/>
      <c r="K105" s="38"/>
      <c r="L105" s="38"/>
      <c r="M105" s="38"/>
      <c r="N105">
        <v>78</v>
      </c>
      <c r="O105" s="38">
        <f>+N105+H105</f>
        <v>428</v>
      </c>
    </row>
    <row r="106" spans="2:15" ht="20.25" thickBot="1" x14ac:dyDescent="0.35">
      <c r="B106" s="161" t="s">
        <v>287</v>
      </c>
      <c r="C106" s="38"/>
      <c r="D106" s="175"/>
      <c r="E106" s="173"/>
      <c r="F106" s="175"/>
      <c r="G106" s="175"/>
      <c r="H106" s="181"/>
      <c r="I106" s="175"/>
      <c r="J106" s="38"/>
      <c r="K106" s="38"/>
      <c r="L106" s="38"/>
      <c r="M106" s="38"/>
      <c r="O106" s="38"/>
    </row>
    <row r="107" spans="2:15" ht="15.75" thickTop="1" x14ac:dyDescent="0.25">
      <c r="C107" s="38"/>
      <c r="D107" s="175"/>
      <c r="E107" s="175"/>
      <c r="F107" s="175"/>
      <c r="G107" s="175"/>
      <c r="H107" s="175"/>
      <c r="I107" s="175"/>
      <c r="J107" s="38"/>
      <c r="K107" s="38"/>
      <c r="L107" s="38"/>
      <c r="M107" s="38"/>
      <c r="O107" s="38"/>
    </row>
    <row r="108" spans="2:15" x14ac:dyDescent="0.25">
      <c r="B108" s="188" t="s">
        <v>13</v>
      </c>
      <c r="C108" s="38">
        <f>SUM(C92:C106)</f>
        <v>26735256</v>
      </c>
      <c r="D108" s="38">
        <f>SUM(D92:D106)</f>
        <v>407795</v>
      </c>
      <c r="E108" s="40">
        <f>SUM(E92:E106)</f>
        <v>699444.00000000012</v>
      </c>
      <c r="F108" s="175"/>
      <c r="G108" s="175"/>
      <c r="H108" s="38">
        <f>SUM(H92:H106)</f>
        <v>27842</v>
      </c>
      <c r="I108" s="175"/>
      <c r="J108" s="38"/>
      <c r="K108" s="38"/>
      <c r="L108" s="38"/>
      <c r="M108" s="38"/>
      <c r="N108" s="38">
        <f>SUM(N92:N106)</f>
        <v>534</v>
      </c>
      <c r="O108" s="40">
        <f>SUM(O92:O106)</f>
        <v>28187</v>
      </c>
    </row>
    <row r="109" spans="2:15" x14ac:dyDescent="0.25">
      <c r="C109" s="38"/>
      <c r="D109" s="185"/>
      <c r="E109" s="175"/>
      <c r="F109" s="175"/>
      <c r="G109" s="175"/>
      <c r="H109" s="175"/>
      <c r="I109" s="175"/>
      <c r="J109" s="38"/>
      <c r="K109" s="38"/>
      <c r="L109" s="38"/>
      <c r="M109" s="38"/>
      <c r="O109" s="38"/>
    </row>
    <row r="110" spans="2:15" x14ac:dyDescent="0.25">
      <c r="B110" s="188" t="s">
        <v>92</v>
      </c>
      <c r="C110" s="38">
        <v>3695000</v>
      </c>
      <c r="D110" s="175"/>
      <c r="E110" s="175"/>
      <c r="F110" s="175"/>
      <c r="G110" s="175"/>
      <c r="H110" s="181">
        <f>ROUND((+E110+D110+C110)/1000,0)</f>
        <v>3695</v>
      </c>
      <c r="I110" s="175"/>
      <c r="J110" s="38"/>
      <c r="K110" s="38"/>
      <c r="L110" s="38"/>
      <c r="M110" s="38"/>
      <c r="N110" s="39">
        <f>1350-N108</f>
        <v>816</v>
      </c>
      <c r="O110" s="38">
        <f>+N110+H110</f>
        <v>4511</v>
      </c>
    </row>
    <row r="111" spans="2:15" x14ac:dyDescent="0.25">
      <c r="C111" s="38"/>
      <c r="D111" s="175"/>
      <c r="E111" s="175"/>
      <c r="F111" s="175"/>
      <c r="G111" s="175"/>
      <c r="H111" s="175"/>
      <c r="I111" s="175"/>
      <c r="J111" s="38"/>
      <c r="K111" s="38"/>
      <c r="L111" s="38"/>
      <c r="M111" s="38"/>
      <c r="O111" s="38"/>
    </row>
    <row r="112" spans="2:15" x14ac:dyDescent="0.25">
      <c r="C112" s="38"/>
      <c r="D112" s="185"/>
      <c r="E112" s="175"/>
      <c r="F112" s="175"/>
      <c r="G112" s="175"/>
      <c r="H112" s="175"/>
      <c r="I112" s="175"/>
      <c r="J112" s="38"/>
      <c r="K112" s="38"/>
      <c r="L112" s="38"/>
      <c r="M112" s="38"/>
      <c r="O112" s="38"/>
    </row>
    <row r="113" spans="2:15" x14ac:dyDescent="0.25">
      <c r="B113" s="188" t="s">
        <v>288</v>
      </c>
      <c r="C113" s="38">
        <f>+C110+C108</f>
        <v>30430256</v>
      </c>
      <c r="D113" s="38">
        <f>+D110+D108</f>
        <v>407795</v>
      </c>
      <c r="E113" s="38">
        <f>+E110+E108</f>
        <v>699444.00000000012</v>
      </c>
      <c r="F113" s="175"/>
      <c r="G113" s="175"/>
      <c r="H113" s="38">
        <f>+H110+H108</f>
        <v>31537</v>
      </c>
      <c r="I113" s="175"/>
      <c r="J113" s="38"/>
      <c r="K113" s="38"/>
      <c r="L113" s="38"/>
      <c r="M113" s="38"/>
      <c r="N113" s="38">
        <f>+N110+N108</f>
        <v>1350</v>
      </c>
      <c r="O113" s="38">
        <f>+N113+H113</f>
        <v>32887</v>
      </c>
    </row>
    <row r="114" spans="2:15" x14ac:dyDescent="0.25">
      <c r="H114" s="39"/>
    </row>
    <row r="116" spans="2:15" x14ac:dyDescent="0.25">
      <c r="H116" s="39"/>
    </row>
    <row r="117" spans="2:15" x14ac:dyDescent="0.25">
      <c r="O117" s="39"/>
    </row>
    <row r="119" spans="2:15" x14ac:dyDescent="0.25">
      <c r="H119" s="38"/>
    </row>
    <row r="120" spans="2:15" x14ac:dyDescent="0.25">
      <c r="H120" s="39"/>
    </row>
    <row r="121" spans="2:15" x14ac:dyDescent="0.25">
      <c r="H121" s="39"/>
    </row>
  </sheetData>
  <mergeCells count="7">
    <mergeCell ref="N4:O5"/>
    <mergeCell ref="L4:M5"/>
    <mergeCell ref="B4:B5"/>
    <mergeCell ref="C4:E4"/>
    <mergeCell ref="F4:G5"/>
    <mergeCell ref="H4:I5"/>
    <mergeCell ref="J4:K5"/>
  </mergeCells>
  <pageMargins left="0.7" right="0.7" top="0.75" bottom="0.75" header="0.3" footer="0.3"/>
  <pageSetup orientation="portrait" r:id="rId1"/>
  <ignoredErrors>
    <ignoredError sqref="I13 N9 N12:O12 N11 N14:O14 N13 N18:O18 N17 N23:O23 N26:O26 I17 I22:I25 D10 E25 O69 O76 O98" formula="1"/>
    <ignoredError sqref="O10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4:T53"/>
  <sheetViews>
    <sheetView tabSelected="1" topLeftCell="N1" zoomScale="80" zoomScaleNormal="80" workbookViewId="0">
      <selection activeCell="T7" sqref="T7"/>
    </sheetView>
  </sheetViews>
  <sheetFormatPr baseColWidth="10" defaultRowHeight="15" x14ac:dyDescent="0.25"/>
  <cols>
    <col min="2" max="2" width="17.5703125" customWidth="1"/>
    <col min="3" max="15" width="19.7109375" customWidth="1"/>
    <col min="16" max="16" width="17.42578125" customWidth="1"/>
    <col min="17" max="18" width="17.42578125" bestFit="1" customWidth="1"/>
    <col min="19" max="19" width="17.42578125" customWidth="1"/>
    <col min="20" max="20" width="16.7109375" bestFit="1" customWidth="1"/>
    <col min="21" max="21" width="17.85546875" customWidth="1"/>
  </cols>
  <sheetData>
    <row r="4" spans="2:20" x14ac:dyDescent="0.25">
      <c r="C4" s="392">
        <v>2006</v>
      </c>
      <c r="D4" s="392">
        <v>2007</v>
      </c>
      <c r="E4" s="392">
        <v>2008</v>
      </c>
      <c r="F4" s="392">
        <v>2009</v>
      </c>
      <c r="G4" s="392">
        <v>2010</v>
      </c>
      <c r="H4" s="392">
        <v>2011</v>
      </c>
      <c r="I4" s="392">
        <v>2012</v>
      </c>
      <c r="J4" s="392">
        <v>2013</v>
      </c>
      <c r="K4" s="392">
        <v>2014</v>
      </c>
      <c r="L4" s="392">
        <v>2015</v>
      </c>
      <c r="M4" s="392">
        <v>2016</v>
      </c>
      <c r="N4" s="392">
        <v>2017</v>
      </c>
      <c r="O4" s="392">
        <v>2018</v>
      </c>
      <c r="P4" s="392">
        <v>2019</v>
      </c>
      <c r="Q4" s="392">
        <v>2020</v>
      </c>
      <c r="R4" s="392">
        <v>2021</v>
      </c>
      <c r="S4" s="392">
        <v>2022</v>
      </c>
      <c r="T4" s="392">
        <v>2023</v>
      </c>
    </row>
    <row r="5" spans="2:20" x14ac:dyDescent="0.25">
      <c r="B5" s="393" t="s">
        <v>2</v>
      </c>
      <c r="C5" s="394">
        <v>18.908861000000002</v>
      </c>
      <c r="D5" s="394">
        <v>20.804608999999999</v>
      </c>
      <c r="E5" s="394">
        <v>21.748336999999999</v>
      </c>
      <c r="F5" s="394">
        <v>21.573523000000002</v>
      </c>
      <c r="G5" s="394">
        <v>21.637419000000001</v>
      </c>
      <c r="H5" s="394">
        <v>22.856759999999998</v>
      </c>
      <c r="I5" s="394">
        <v>25.057993999999997</v>
      </c>
      <c r="J5" s="394">
        <v>27.222894</v>
      </c>
      <c r="K5" s="394">
        <v>28.765022000000002</v>
      </c>
      <c r="L5" s="394">
        <v>31.739014999999998</v>
      </c>
      <c r="M5" s="394">
        <v>35.126967</v>
      </c>
      <c r="N5" s="394">
        <v>37.158465999999997</v>
      </c>
      <c r="O5" s="394">
        <v>38.545999999999999</v>
      </c>
      <c r="P5" s="394">
        <v>39.366</v>
      </c>
      <c r="Q5" s="394">
        <v>37.402000000000001</v>
      </c>
      <c r="R5" s="394">
        <v>42.128</v>
      </c>
      <c r="S5" s="394">
        <v>47.375</v>
      </c>
      <c r="T5" s="394">
        <v>49.116147490562291</v>
      </c>
    </row>
    <row r="6" spans="2:20" x14ac:dyDescent="0.25">
      <c r="B6" s="393" t="s">
        <v>402</v>
      </c>
      <c r="C6" s="394">
        <v>20.346278999999999</v>
      </c>
      <c r="D6" s="394">
        <v>19.074514130000001</v>
      </c>
      <c r="E6" s="394">
        <v>18.507596000000003</v>
      </c>
      <c r="F6" s="394">
        <v>25.606895000000002</v>
      </c>
      <c r="G6" s="394">
        <v>25.546302000000001</v>
      </c>
      <c r="H6" s="394">
        <v>21.614194999999999</v>
      </c>
      <c r="I6" s="394">
        <v>19.322455000000001</v>
      </c>
      <c r="J6" s="394">
        <v>27.570371999999999</v>
      </c>
      <c r="K6" s="394">
        <v>28.216185000000003</v>
      </c>
      <c r="L6" s="394">
        <v>35.708803000000003</v>
      </c>
      <c r="M6" s="394">
        <v>42.514161999999999</v>
      </c>
      <c r="N6" s="394">
        <v>36.203510390000005</v>
      </c>
      <c r="O6" s="394">
        <v>42.006999999999998</v>
      </c>
      <c r="P6" s="394">
        <v>43.784999999999997</v>
      </c>
      <c r="Q6" s="394">
        <v>21.716999999999999</v>
      </c>
      <c r="R6" s="394">
        <v>37.036999999999999</v>
      </c>
      <c r="S6" s="394">
        <v>45.155999999999999</v>
      </c>
      <c r="T6" s="394">
        <v>58.540514999999999</v>
      </c>
    </row>
    <row r="7" spans="2:20" x14ac:dyDescent="0.25">
      <c r="B7" t="s">
        <v>403</v>
      </c>
      <c r="C7" s="395">
        <v>-1.4374179999999999</v>
      </c>
      <c r="D7" s="395">
        <v>1.730094870000001</v>
      </c>
      <c r="E7" s="395">
        <v>3.2407409999999999</v>
      </c>
      <c r="F7" s="395">
        <v>-4.033372</v>
      </c>
      <c r="G7" s="395">
        <v>-3.9088829999999999</v>
      </c>
      <c r="H7" s="395">
        <v>1.2425650000000001</v>
      </c>
      <c r="I7" s="395">
        <v>5.7355390000000002</v>
      </c>
      <c r="J7" s="395">
        <v>-0.34747800000000001</v>
      </c>
      <c r="K7" s="395">
        <v>0.54883700000000002</v>
      </c>
      <c r="L7" s="395">
        <v>-3.9697879999999999</v>
      </c>
      <c r="M7" s="395">
        <v>-7.3871950000000002</v>
      </c>
      <c r="N7" s="395">
        <v>0.95495560999999196</v>
      </c>
      <c r="O7" s="395">
        <v>-3.4609999999999999</v>
      </c>
      <c r="P7" s="395">
        <v>-4.4189999999999996</v>
      </c>
      <c r="Q7" s="395">
        <v>15.685</v>
      </c>
      <c r="R7" s="395">
        <v>5.0910000000000002</v>
      </c>
      <c r="S7" s="395">
        <v>2.7</v>
      </c>
      <c r="T7" s="395">
        <v>-9.5</v>
      </c>
    </row>
    <row r="9" spans="2:20" x14ac:dyDescent="0.25">
      <c r="C9" s="396">
        <v>18908861</v>
      </c>
      <c r="D9" s="396">
        <v>20804609</v>
      </c>
      <c r="E9" s="396">
        <v>21748337</v>
      </c>
      <c r="F9" s="396">
        <v>21573523</v>
      </c>
      <c r="G9" s="396">
        <v>21637419</v>
      </c>
      <c r="H9" s="396">
        <v>22856760</v>
      </c>
      <c r="I9" s="396">
        <v>25057994</v>
      </c>
      <c r="J9" s="396">
        <v>27222894</v>
      </c>
      <c r="K9" s="396">
        <v>28765022</v>
      </c>
      <c r="L9" s="396">
        <v>31739015</v>
      </c>
      <c r="M9" s="396">
        <v>35126967</v>
      </c>
      <c r="N9" s="396">
        <f>+'[3]Mov. superávit'!E7</f>
        <v>37158466</v>
      </c>
      <c r="O9" s="396">
        <v>38546000</v>
      </c>
      <c r="P9" s="396">
        <v>39366000</v>
      </c>
      <c r="Q9" s="396">
        <v>37402000</v>
      </c>
      <c r="R9" s="396">
        <v>42128000</v>
      </c>
      <c r="S9" s="396">
        <f>+'Presupuesto 2023'!F9*1000</f>
        <v>47375000</v>
      </c>
      <c r="T9" s="396">
        <f>+'Presupuesto 2023'!H9*1000</f>
        <v>48751000</v>
      </c>
    </row>
    <row r="10" spans="2:20" x14ac:dyDescent="0.25">
      <c r="C10" s="396">
        <v>20346279</v>
      </c>
      <c r="D10" s="396">
        <v>19074514.129999999</v>
      </c>
      <c r="E10" s="396">
        <v>18507596</v>
      </c>
      <c r="F10" s="396">
        <v>25606895</v>
      </c>
      <c r="G10" s="396">
        <v>25546302</v>
      </c>
      <c r="H10" s="396">
        <v>21614195</v>
      </c>
      <c r="I10" s="396">
        <v>19322455</v>
      </c>
      <c r="J10" s="396">
        <v>27570372</v>
      </c>
      <c r="K10" s="396">
        <v>28216185</v>
      </c>
      <c r="L10" s="396">
        <v>35708803</v>
      </c>
      <c r="M10" s="396">
        <v>42514162</v>
      </c>
      <c r="N10" s="396">
        <f>+'[3]Mov. superávit'!E12</f>
        <v>36203510.390000008</v>
      </c>
      <c r="O10" s="396">
        <v>42007000</v>
      </c>
      <c r="P10" s="396">
        <v>43785000</v>
      </c>
      <c r="Q10" s="396">
        <v>21717000</v>
      </c>
      <c r="R10" s="396">
        <v>37037000</v>
      </c>
      <c r="S10" s="396">
        <f>+'Presupuesto 2023'!F13*1000</f>
        <v>43074000</v>
      </c>
      <c r="T10" s="396">
        <f>+'Presupuesto 2023'!H11*1000</f>
        <v>59759965.000000007</v>
      </c>
    </row>
    <row r="11" spans="2:20" x14ac:dyDescent="0.25">
      <c r="C11" s="396">
        <v>-1437418</v>
      </c>
      <c r="D11" s="396">
        <v>1730094.870000001</v>
      </c>
      <c r="E11" s="396">
        <v>3240741</v>
      </c>
      <c r="F11" s="396">
        <v>-4033372</v>
      </c>
      <c r="G11" s="396">
        <v>-3908883</v>
      </c>
      <c r="H11" s="396">
        <v>1242565</v>
      </c>
      <c r="I11" s="396">
        <v>5735539</v>
      </c>
      <c r="J11" s="396">
        <v>-347478</v>
      </c>
      <c r="K11" s="396">
        <v>548837</v>
      </c>
      <c r="L11" s="396">
        <f t="shared" ref="L11:T11" si="0">+L9-L10</f>
        <v>-3969788</v>
      </c>
      <c r="M11" s="396">
        <f t="shared" si="0"/>
        <v>-7387195</v>
      </c>
      <c r="N11" s="396">
        <f t="shared" si="0"/>
        <v>954955.60999999195</v>
      </c>
      <c r="O11" s="396">
        <f t="shared" si="0"/>
        <v>-3461000</v>
      </c>
      <c r="P11" s="396">
        <f t="shared" si="0"/>
        <v>-4419000</v>
      </c>
      <c r="Q11" s="396">
        <f t="shared" si="0"/>
        <v>15685000</v>
      </c>
      <c r="R11" s="396">
        <f t="shared" ref="R11" si="1">+R9-R10</f>
        <v>5091000</v>
      </c>
      <c r="S11" s="446">
        <f t="shared" si="0"/>
        <v>4301000</v>
      </c>
      <c r="T11" s="446">
        <f t="shared" si="0"/>
        <v>-11008965.000000007</v>
      </c>
    </row>
    <row r="24" spans="12:12" x14ac:dyDescent="0.25">
      <c r="L24">
        <v>2</v>
      </c>
    </row>
    <row r="51" spans="3:12" x14ac:dyDescent="0.25">
      <c r="C51" s="397"/>
      <c r="D51" s="397"/>
      <c r="E51" s="397"/>
      <c r="F51" s="397"/>
      <c r="G51" s="397"/>
      <c r="H51" s="397"/>
      <c r="I51" s="397"/>
      <c r="J51" s="397"/>
      <c r="K51" s="397"/>
      <c r="L51" s="397"/>
    </row>
    <row r="52" spans="3:12" x14ac:dyDescent="0.25">
      <c r="C52" s="397"/>
      <c r="D52" s="397"/>
      <c r="E52" s="397"/>
      <c r="F52" s="397"/>
      <c r="G52" s="397"/>
      <c r="H52" s="397"/>
      <c r="I52" s="397"/>
      <c r="J52" s="397"/>
      <c r="K52" s="397"/>
      <c r="L52" s="397"/>
    </row>
    <row r="53" spans="3:12" x14ac:dyDescent="0.25">
      <c r="C53" s="397"/>
      <c r="D53" s="397"/>
      <c r="E53" s="397"/>
      <c r="F53" s="397"/>
      <c r="G53" s="397"/>
      <c r="H53" s="397"/>
      <c r="I53" s="397"/>
      <c r="J53" s="397"/>
      <c r="K53" s="397"/>
      <c r="L53" s="397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9"/>
  <sheetViews>
    <sheetView workbookViewId="0">
      <selection activeCell="C11" sqref="C11"/>
    </sheetView>
  </sheetViews>
  <sheetFormatPr baseColWidth="10" defaultColWidth="11.5703125" defaultRowHeight="15" x14ac:dyDescent="0.25"/>
  <cols>
    <col min="1" max="2" width="11.5703125" style="40"/>
    <col min="3" max="8" width="13.5703125" style="40" bestFit="1" customWidth="1"/>
    <col min="9" max="9" width="14.5703125" style="40" bestFit="1" customWidth="1"/>
    <col min="10" max="16384" width="11.5703125" style="40"/>
  </cols>
  <sheetData>
    <row r="1" spans="2:9" x14ac:dyDescent="0.25">
      <c r="D1" s="40" t="s">
        <v>362</v>
      </c>
    </row>
    <row r="2" spans="2:9" x14ac:dyDescent="0.25">
      <c r="D2" s="40" t="s">
        <v>363</v>
      </c>
    </row>
    <row r="4" spans="2:9" x14ac:dyDescent="0.25">
      <c r="B4" s="40" t="s">
        <v>364</v>
      </c>
      <c r="D4" s="219">
        <v>2015</v>
      </c>
      <c r="E4" s="219">
        <v>2016</v>
      </c>
      <c r="F4" s="219">
        <v>2017</v>
      </c>
      <c r="G4" s="219">
        <v>2018</v>
      </c>
      <c r="H4" s="219">
        <v>2019</v>
      </c>
      <c r="I4" s="40" t="s">
        <v>365</v>
      </c>
    </row>
    <row r="5" spans="2:9" x14ac:dyDescent="0.25">
      <c r="B5" s="40" t="s">
        <v>2</v>
      </c>
    </row>
    <row r="6" spans="2:9" x14ac:dyDescent="0.25">
      <c r="B6" s="40" t="s">
        <v>366</v>
      </c>
      <c r="D6" s="40">
        <v>25760000</v>
      </c>
      <c r="E6" s="40">
        <v>26696036.900000095</v>
      </c>
      <c r="F6" s="40">
        <v>27850782.699999809</v>
      </c>
      <c r="G6" s="40">
        <v>29005528.5</v>
      </c>
      <c r="H6" s="40">
        <v>30160274.300000191</v>
      </c>
      <c r="I6" s="40">
        <v>139472622.4000001</v>
      </c>
    </row>
    <row r="7" spans="2:9" x14ac:dyDescent="0.25">
      <c r="B7" s="40" t="s">
        <v>367</v>
      </c>
      <c r="D7" s="40">
        <v>2240000</v>
      </c>
      <c r="E7" s="40">
        <v>2601445.4000000358</v>
      </c>
      <c r="F7" s="40">
        <v>2784352.6000000238</v>
      </c>
      <c r="G7" s="40">
        <v>2967259.8000000119</v>
      </c>
      <c r="H7" s="40">
        <v>3150167</v>
      </c>
      <c r="I7" s="40">
        <v>13743224.800000072</v>
      </c>
    </row>
    <row r="8" spans="2:9" x14ac:dyDescent="0.25">
      <c r="B8" s="40" t="s">
        <v>368</v>
      </c>
      <c r="D8" s="40">
        <v>1992000</v>
      </c>
      <c r="E8" s="40">
        <v>1472028.1296560003</v>
      </c>
      <c r="F8" s="40">
        <v>1103177.9830616836</v>
      </c>
      <c r="G8" s="40">
        <v>682070.38035561051</v>
      </c>
      <c r="H8" s="40">
        <v>299717.87066041719</v>
      </c>
      <c r="I8" s="40">
        <v>5548994.3637337107</v>
      </c>
    </row>
    <row r="9" spans="2:9" x14ac:dyDescent="0.25">
      <c r="B9" s="40" t="s">
        <v>89</v>
      </c>
    </row>
    <row r="10" spans="2:9" x14ac:dyDescent="0.25">
      <c r="B10" s="40" t="s">
        <v>369</v>
      </c>
      <c r="D10" s="40">
        <v>29992000</v>
      </c>
      <c r="E10" s="40">
        <v>30769510.429656133</v>
      </c>
      <c r="F10" s="40">
        <v>31738313.283061516</v>
      </c>
      <c r="G10" s="40">
        <v>32654858.680355623</v>
      </c>
      <c r="H10" s="40">
        <v>33610159.170660608</v>
      </c>
      <c r="I10" s="40">
        <v>158764841.56373388</v>
      </c>
    </row>
    <row r="11" spans="2:9" x14ac:dyDescent="0.25">
      <c r="B11" s="40" t="s">
        <v>8</v>
      </c>
      <c r="E11" s="40">
        <f>+E16+E21+E23</f>
        <v>33915904.997365296</v>
      </c>
      <c r="F11" s="40">
        <f t="shared" ref="F11:H11" si="0">+F16+F21+F23</f>
        <v>35759217.173948914</v>
      </c>
      <c r="G11" s="40">
        <f t="shared" si="0"/>
        <v>35903065.91009149</v>
      </c>
      <c r="H11" s="40">
        <f t="shared" si="0"/>
        <v>35287494.14092771</v>
      </c>
    </row>
    <row r="12" spans="2:9" hidden="1" x14ac:dyDescent="0.25">
      <c r="B12" s="40" t="s">
        <v>334</v>
      </c>
    </row>
    <row r="13" spans="2:9" hidden="1" x14ac:dyDescent="0.25">
      <c r="B13" s="40" t="s">
        <v>11</v>
      </c>
      <c r="D13" s="40">
        <v>13542679.487179484</v>
      </c>
      <c r="E13" s="40">
        <v>14055881.050629454</v>
      </c>
      <c r="F13" s="40">
        <v>14607965.323018609</v>
      </c>
      <c r="G13" s="40">
        <v>14895163.414465435</v>
      </c>
      <c r="H13" s="40">
        <v>15278108.683051556</v>
      </c>
      <c r="I13" s="40">
        <v>72379797.958344549</v>
      </c>
    </row>
    <row r="14" spans="2:9" hidden="1" x14ac:dyDescent="0.25">
      <c r="B14" s="40" t="s">
        <v>12</v>
      </c>
      <c r="D14" s="40">
        <v>8995474.3589743581</v>
      </c>
      <c r="E14" s="40">
        <v>9084032.307692308</v>
      </c>
      <c r="F14" s="40">
        <v>9143808.9230769221</v>
      </c>
      <c r="G14" s="40">
        <v>8417724.3692307696</v>
      </c>
      <c r="H14" s="40">
        <v>7773663.0876923082</v>
      </c>
      <c r="I14" s="40">
        <v>43414703.046666659</v>
      </c>
    </row>
    <row r="15" spans="2:9" hidden="1" x14ac:dyDescent="0.25">
      <c r="B15" s="40" t="s">
        <v>370</v>
      </c>
      <c r="D15" s="40">
        <v>7523648.6338461544</v>
      </c>
      <c r="E15" s="40">
        <v>7638756.3261538465</v>
      </c>
      <c r="F15" s="40">
        <v>8780008.0293615386</v>
      </c>
      <c r="G15" s="40">
        <v>9272046.0309846159</v>
      </c>
      <c r="H15" s="40">
        <v>9831886.4272338469</v>
      </c>
      <c r="I15" s="40">
        <v>43046345.447580002</v>
      </c>
    </row>
    <row r="16" spans="2:9" x14ac:dyDescent="0.25">
      <c r="B16" s="219" t="s">
        <v>371</v>
      </c>
      <c r="D16" s="40">
        <v>30061802.479999997</v>
      </c>
      <c r="E16" s="40">
        <v>30778669.684475608</v>
      </c>
      <c r="F16" s="40">
        <v>32531782.275457069</v>
      </c>
      <c r="G16" s="40">
        <v>32584933.814680822</v>
      </c>
      <c r="H16" s="40">
        <v>32883658.197977711</v>
      </c>
      <c r="I16" s="40">
        <v>158840846.45259121</v>
      </c>
    </row>
    <row r="17" spans="2:9" hidden="1" x14ac:dyDescent="0.25">
      <c r="B17" s="219" t="s">
        <v>372</v>
      </c>
    </row>
    <row r="18" spans="2:9" hidden="1" x14ac:dyDescent="0.25">
      <c r="B18" s="40" t="s">
        <v>15</v>
      </c>
      <c r="D18" s="40">
        <v>1200000</v>
      </c>
      <c r="E18" s="40">
        <v>1224000</v>
      </c>
      <c r="F18" s="40">
        <v>1248480</v>
      </c>
      <c r="G18" s="40">
        <v>1273449.6000000001</v>
      </c>
      <c r="H18" s="40">
        <v>1298918.5920000002</v>
      </c>
      <c r="I18" s="40">
        <v>6244848.1919999998</v>
      </c>
    </row>
    <row r="19" spans="2:9" hidden="1" x14ac:dyDescent="0.25">
      <c r="B19" s="40" t="s">
        <v>373</v>
      </c>
      <c r="D19" s="40">
        <v>535000</v>
      </c>
      <c r="E19" s="40">
        <v>561750</v>
      </c>
      <c r="F19" s="40">
        <v>589837.5</v>
      </c>
      <c r="G19" s="40">
        <v>619329.375</v>
      </c>
      <c r="H19" s="40">
        <v>650295.84375</v>
      </c>
      <c r="I19" s="40">
        <v>2956212.71875</v>
      </c>
    </row>
    <row r="20" spans="2:9" hidden="1" x14ac:dyDescent="0.25">
      <c r="B20" s="40" t="s">
        <v>83</v>
      </c>
      <c r="D20" s="40">
        <v>420000</v>
      </c>
      <c r="E20" s="40">
        <v>428400</v>
      </c>
      <c r="F20" s="40">
        <v>436968</v>
      </c>
      <c r="G20" s="40">
        <v>445707.36</v>
      </c>
      <c r="H20" s="40">
        <v>454621.50719999999</v>
      </c>
      <c r="I20" s="40">
        <v>2185696.8671999997</v>
      </c>
    </row>
    <row r="21" spans="2:9" x14ac:dyDescent="0.25">
      <c r="B21" s="219" t="s">
        <v>374</v>
      </c>
      <c r="D21" s="40">
        <v>2155000</v>
      </c>
      <c r="E21" s="40">
        <v>2214150</v>
      </c>
      <c r="F21" s="40">
        <v>2275285.5</v>
      </c>
      <c r="G21" s="40">
        <v>2338486.335</v>
      </c>
      <c r="H21" s="40">
        <v>2403835.9429500001</v>
      </c>
      <c r="I21" s="40">
        <v>11386757.77795</v>
      </c>
    </row>
    <row r="22" spans="2:9" x14ac:dyDescent="0.25">
      <c r="B22" s="219" t="s">
        <v>375</v>
      </c>
      <c r="D22" s="40">
        <v>3454500</v>
      </c>
      <c r="E22" s="40">
        <v>3523590</v>
      </c>
      <c r="F22" s="40">
        <v>3594061.8000000003</v>
      </c>
      <c r="G22" s="40">
        <v>3665943.0360000003</v>
      </c>
      <c r="H22" s="40">
        <v>3739261.8967200005</v>
      </c>
    </row>
    <row r="23" spans="2:9" x14ac:dyDescent="0.25">
      <c r="B23" s="219" t="s">
        <v>376</v>
      </c>
      <c r="D23" s="40">
        <v>1200000</v>
      </c>
      <c r="E23" s="40">
        <v>923085.31288968399</v>
      </c>
      <c r="F23" s="40">
        <v>952149.39849184547</v>
      </c>
      <c r="G23" s="40">
        <v>979645.76041066868</v>
      </c>
      <c r="I23" s="40">
        <v>4054880.4717921983</v>
      </c>
    </row>
    <row r="24" spans="2:9" x14ac:dyDescent="0.25">
      <c r="B24" s="219" t="s">
        <v>377</v>
      </c>
      <c r="D24" s="40">
        <v>36871302.479999997</v>
      </c>
      <c r="E24" s="40">
        <v>37439494.997365296</v>
      </c>
      <c r="F24" s="40">
        <v>39353278.973948911</v>
      </c>
      <c r="G24" s="40">
        <v>39569008.946091488</v>
      </c>
      <c r="H24" s="40">
        <v>39026756.037647709</v>
      </c>
      <c r="I24" s="40">
        <v>192259841.43505341</v>
      </c>
    </row>
    <row r="25" spans="2:9" x14ac:dyDescent="0.25">
      <c r="B25" s="40" t="s">
        <v>378</v>
      </c>
      <c r="D25" s="40">
        <v>-6879302.4799999967</v>
      </c>
      <c r="E25" s="40">
        <v>-6669984.5677091628</v>
      </c>
      <c r="F25" s="40">
        <v>-7614965.6908873953</v>
      </c>
      <c r="G25" s="40">
        <v>-6914150.2657358646</v>
      </c>
      <c r="H25" s="40">
        <v>-5416596.8669871017</v>
      </c>
    </row>
    <row r="26" spans="2:9" x14ac:dyDescent="0.25">
      <c r="B26" s="40" t="s">
        <v>379</v>
      </c>
      <c r="D26" s="40">
        <v>33498256</v>
      </c>
      <c r="E26" s="40">
        <v>26618953.520000003</v>
      </c>
      <c r="F26" s="40">
        <v>19948968.95229084</v>
      </c>
      <c r="G26" s="40">
        <v>12334003.261403445</v>
      </c>
      <c r="H26" s="40">
        <v>5419852.9956675805</v>
      </c>
      <c r="I26" s="40">
        <v>33498256</v>
      </c>
    </row>
    <row r="27" spans="2:9" x14ac:dyDescent="0.25">
      <c r="B27" s="40" t="s">
        <v>380</v>
      </c>
      <c r="C27" s="40">
        <v>33498256</v>
      </c>
      <c r="D27" s="40">
        <v>26618953.520000003</v>
      </c>
      <c r="E27" s="40">
        <v>19948968.95229084</v>
      </c>
      <c r="F27" s="40">
        <v>12334003.261403445</v>
      </c>
      <c r="G27" s="40">
        <v>5419852.9956675805</v>
      </c>
      <c r="H27" s="40">
        <v>3256.1286804787815</v>
      </c>
      <c r="I27" s="40">
        <v>3256.1286804676056</v>
      </c>
    </row>
    <row r="29" spans="2:9" x14ac:dyDescent="0.25">
      <c r="B29" s="40" t="s">
        <v>381</v>
      </c>
    </row>
    <row r="30" spans="2:9" x14ac:dyDescent="0.25">
      <c r="B30" s="40" t="s">
        <v>11</v>
      </c>
      <c r="D30" s="40">
        <v>5804005.4945054948</v>
      </c>
      <c r="E30" s="40">
        <v>6023949.0216983389</v>
      </c>
      <c r="F30" s="40">
        <v>6260556.5670079757</v>
      </c>
      <c r="G30" s="40">
        <v>6383641.4633423313</v>
      </c>
      <c r="H30" s="40">
        <v>6547760.8641649559</v>
      </c>
      <c r="I30" s="40">
        <v>31019913.410719097</v>
      </c>
    </row>
    <row r="31" spans="2:9" x14ac:dyDescent="0.25">
      <c r="B31" s="40" t="s">
        <v>370</v>
      </c>
      <c r="D31" s="40">
        <v>5015765.7558974363</v>
      </c>
      <c r="E31" s="40">
        <v>5092504.2174358983</v>
      </c>
      <c r="F31" s="40">
        <v>5853338.686241027</v>
      </c>
      <c r="G31" s="40">
        <v>6181364.0206564106</v>
      </c>
      <c r="H31" s="40">
        <v>6554590.9514892325</v>
      </c>
      <c r="I31" s="40">
        <v>28697563.631720006</v>
      </c>
    </row>
    <row r="32" spans="2:9" x14ac:dyDescent="0.25">
      <c r="B32" s="40" t="s">
        <v>382</v>
      </c>
      <c r="D32" s="40">
        <v>140329.4</v>
      </c>
      <c r="E32" s="40">
        <v>141710.90400000001</v>
      </c>
      <c r="F32" s="40">
        <v>142643.4192</v>
      </c>
      <c r="G32" s="40">
        <v>131316.50016000003</v>
      </c>
      <c r="H32" s="40">
        <v>121269.14416800001</v>
      </c>
      <c r="I32" s="40">
        <v>677269.36752800003</v>
      </c>
    </row>
    <row r="33" spans="2:9" x14ac:dyDescent="0.25">
      <c r="B33" s="40" t="s">
        <v>41</v>
      </c>
      <c r="D33" s="40">
        <v>10960100.650402931</v>
      </c>
      <c r="E33" s="40">
        <v>11258164.143134236</v>
      </c>
      <c r="F33" s="40">
        <v>12256538.672449002</v>
      </c>
      <c r="G33" s="40">
        <v>12696321.984158741</v>
      </c>
      <c r="H33" s="40">
        <v>13223620.959822189</v>
      </c>
      <c r="I33" s="40">
        <v>60394746.409967102</v>
      </c>
    </row>
    <row r="35" spans="2:9" x14ac:dyDescent="0.25">
      <c r="B35" s="40" t="s">
        <v>383</v>
      </c>
      <c r="D35" s="40">
        <v>9.3690750465726433E-2</v>
      </c>
      <c r="E35" s="40">
        <v>9.4114250212188041E-2</v>
      </c>
      <c r="F35" s="40">
        <v>9.1328140721874729E-2</v>
      </c>
      <c r="G35" s="40">
        <v>9.2646824715636747E-2</v>
      </c>
      <c r="H35" s="40">
        <v>9.5812777600907159E-2</v>
      </c>
    </row>
    <row r="37" spans="2:9" x14ac:dyDescent="0.25">
      <c r="B37" s="40" t="s">
        <v>384</v>
      </c>
      <c r="D37" s="40">
        <v>0.7007672988018927</v>
      </c>
      <c r="E37" s="40">
        <v>0.70485948870382187</v>
      </c>
      <c r="F37" s="40">
        <v>0.71892689906586282</v>
      </c>
      <c r="G37" s="40">
        <v>0.74166820724250648</v>
      </c>
      <c r="H37" s="40">
        <v>0.76360102513866979</v>
      </c>
    </row>
    <row r="40" spans="2:9" x14ac:dyDescent="0.25">
      <c r="F40" s="40">
        <v>1879200</v>
      </c>
      <c r="G40" s="40">
        <v>1691280</v>
      </c>
      <c r="H40" s="40">
        <v>1522152</v>
      </c>
    </row>
    <row r="42" spans="2:9" x14ac:dyDescent="0.25">
      <c r="B42" s="40" t="s">
        <v>385</v>
      </c>
      <c r="C42" s="40">
        <v>1.02</v>
      </c>
      <c r="F42" s="40">
        <v>16044616.952438459</v>
      </c>
      <c r="G42" s="40">
        <v>15998490.400215387</v>
      </c>
      <c r="H42" s="40">
        <v>16083397.514926154</v>
      </c>
    </row>
    <row r="43" spans="2:9" x14ac:dyDescent="0.25">
      <c r="B43" s="40" t="s">
        <v>386</v>
      </c>
      <c r="C43" s="40">
        <v>1.02</v>
      </c>
    </row>
    <row r="44" spans="2:9" x14ac:dyDescent="0.25">
      <c r="B44" s="40" t="s">
        <v>387</v>
      </c>
      <c r="C44" s="40">
        <v>1.05</v>
      </c>
    </row>
    <row r="45" spans="2:9" x14ac:dyDescent="0.25">
      <c r="B45" s="40" t="s">
        <v>388</v>
      </c>
      <c r="C45" s="40">
        <v>1.02</v>
      </c>
    </row>
    <row r="47" spans="2:9" x14ac:dyDescent="0.25">
      <c r="B47" s="40" t="s">
        <v>389</v>
      </c>
      <c r="C47" s="40">
        <v>0</v>
      </c>
    </row>
    <row r="49" spans="3:3" x14ac:dyDescent="0.25">
      <c r="C49" s="40">
        <v>3256.1286804787815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K27"/>
  <sheetViews>
    <sheetView topLeftCell="A10" workbookViewId="0">
      <selection activeCell="G18" sqref="G18"/>
    </sheetView>
  </sheetViews>
  <sheetFormatPr baseColWidth="10" defaultRowHeight="15" x14ac:dyDescent="0.25"/>
  <sheetData>
    <row r="2" spans="2:8" ht="15.75" thickBot="1" x14ac:dyDescent="0.3"/>
    <row r="3" spans="2:8" ht="14.45" customHeight="1" x14ac:dyDescent="0.25">
      <c r="C3" s="501" t="s">
        <v>352</v>
      </c>
    </row>
    <row r="4" spans="2:8" ht="14.45" customHeight="1" x14ac:dyDescent="0.25">
      <c r="C4" s="503"/>
    </row>
    <row r="5" spans="2:8" ht="16.5" x14ac:dyDescent="0.25">
      <c r="C5" s="223"/>
    </row>
    <row r="6" spans="2:8" ht="16.5" x14ac:dyDescent="0.25">
      <c r="B6" s="41">
        <v>31500</v>
      </c>
      <c r="C6" s="41">
        <v>33332.531999999999</v>
      </c>
    </row>
    <row r="7" spans="2:8" ht="16.5" x14ac:dyDescent="0.25">
      <c r="B7" s="41">
        <v>1483</v>
      </c>
      <c r="C7" s="41">
        <v>999.85550228262753</v>
      </c>
    </row>
    <row r="8" spans="2:8" ht="16.5" x14ac:dyDescent="0.25">
      <c r="B8" s="43">
        <v>32983</v>
      </c>
      <c r="C8" s="43">
        <v>34332.387502282625</v>
      </c>
    </row>
    <row r="9" spans="2:8" ht="16.5" x14ac:dyDescent="0.25">
      <c r="B9" s="42">
        <v>14276</v>
      </c>
      <c r="C9" s="42">
        <v>13156.812497717372</v>
      </c>
    </row>
    <row r="10" spans="2:8" ht="16.5" x14ac:dyDescent="0.25">
      <c r="B10" s="44">
        <v>47259</v>
      </c>
      <c r="C10" s="44">
        <v>47489.2</v>
      </c>
    </row>
    <row r="11" spans="2:8" x14ac:dyDescent="0.25">
      <c r="B11" s="208"/>
      <c r="C11" s="208"/>
    </row>
    <row r="12" spans="2:8" ht="16.5" x14ac:dyDescent="0.25">
      <c r="B12" s="33">
        <f>+B18+B23+B25+B27</f>
        <v>48753.8</v>
      </c>
      <c r="C12" s="33">
        <v>47489.2</v>
      </c>
      <c r="E12" s="20">
        <f>+C12-B12</f>
        <v>-1264.6000000000058</v>
      </c>
      <c r="G12" s="20">
        <f>SUM(G13:G27)</f>
        <v>-1264</v>
      </c>
      <c r="H12" s="20"/>
    </row>
    <row r="13" spans="2:8" x14ac:dyDescent="0.25">
      <c r="B13" s="21"/>
      <c r="C13" s="21"/>
    </row>
    <row r="14" spans="2:8" ht="16.5" x14ac:dyDescent="0.25">
      <c r="B14" s="6">
        <v>16162</v>
      </c>
      <c r="C14" s="6">
        <v>16826</v>
      </c>
      <c r="E14" s="20">
        <f>+C14-B14</f>
        <v>664</v>
      </c>
    </row>
    <row r="15" spans="2:8" ht="16.5" x14ac:dyDescent="0.25">
      <c r="B15" s="150">
        <v>13973</v>
      </c>
      <c r="C15" s="150">
        <v>13816.6</v>
      </c>
      <c r="E15" s="20">
        <f t="shared" ref="E15:E22" si="0">+C15-B15</f>
        <v>-156.39999999999964</v>
      </c>
    </row>
    <row r="16" spans="2:8" ht="16.5" x14ac:dyDescent="0.25">
      <c r="B16" s="6">
        <v>2503</v>
      </c>
      <c r="C16" s="6">
        <v>2700</v>
      </c>
      <c r="E16" s="20">
        <f t="shared" si="0"/>
        <v>197</v>
      </c>
    </row>
    <row r="17" spans="2:11" ht="16.5" x14ac:dyDescent="0.25">
      <c r="B17" s="6">
        <v>1849</v>
      </c>
      <c r="C17" s="6">
        <v>1849.5</v>
      </c>
      <c r="E17" s="20">
        <f t="shared" si="0"/>
        <v>0.5</v>
      </c>
    </row>
    <row r="18" spans="2:11" ht="16.5" x14ac:dyDescent="0.25">
      <c r="B18" s="30">
        <f>SUM(B14:B17)</f>
        <v>34487</v>
      </c>
      <c r="C18" s="30">
        <f>SUM(C14:C17)</f>
        <v>35192.1</v>
      </c>
      <c r="E18" s="368">
        <f>SUM(E14:E17)</f>
        <v>705.10000000000036</v>
      </c>
      <c r="G18">
        <v>705</v>
      </c>
      <c r="H18" s="20"/>
      <c r="K18">
        <v>660</v>
      </c>
    </row>
    <row r="19" spans="2:11" x14ac:dyDescent="0.25">
      <c r="B19" s="21"/>
      <c r="C19" s="21"/>
      <c r="H19" s="20"/>
      <c r="K19">
        <v>-1952</v>
      </c>
    </row>
    <row r="20" spans="2:11" ht="16.5" x14ac:dyDescent="0.25">
      <c r="B20" s="6">
        <v>2603</v>
      </c>
      <c r="C20" s="6">
        <v>2387</v>
      </c>
      <c r="E20" s="20">
        <f t="shared" si="0"/>
        <v>-216</v>
      </c>
      <c r="H20" s="20"/>
      <c r="K20">
        <v>-77</v>
      </c>
    </row>
    <row r="21" spans="2:11" ht="16.5" x14ac:dyDescent="0.25">
      <c r="B21" s="6">
        <v>524</v>
      </c>
      <c r="C21" s="6">
        <v>620</v>
      </c>
      <c r="E21" s="20">
        <f t="shared" si="0"/>
        <v>96</v>
      </c>
      <c r="K21">
        <f>+K20+K19+K18</f>
        <v>-1369</v>
      </c>
    </row>
    <row r="22" spans="2:11" ht="16.5" x14ac:dyDescent="0.25">
      <c r="B22" s="150">
        <v>490</v>
      </c>
      <c r="C22" s="150">
        <v>564.70000000000005</v>
      </c>
      <c r="E22" s="20">
        <f t="shared" si="0"/>
        <v>74.700000000000045</v>
      </c>
    </row>
    <row r="23" spans="2:11" ht="16.5" x14ac:dyDescent="0.25">
      <c r="B23" s="202">
        <f>SUM(B20:B22)</f>
        <v>3617</v>
      </c>
      <c r="C23" s="202">
        <f>SUM(C20:C22)</f>
        <v>3571.7</v>
      </c>
      <c r="E23" s="368">
        <f>SUM(E20:E22)</f>
        <v>-45.299999999999955</v>
      </c>
      <c r="G23">
        <v>-45</v>
      </c>
    </row>
    <row r="24" spans="2:11" x14ac:dyDescent="0.25">
      <c r="B24" s="21"/>
      <c r="C24" s="21"/>
    </row>
    <row r="25" spans="2:11" ht="16.5" x14ac:dyDescent="0.25">
      <c r="B25" s="12">
        <f>4757-105.5+1600.3</f>
        <v>6251.8</v>
      </c>
      <c r="C25" s="12">
        <v>6279.4</v>
      </c>
      <c r="E25" s="20">
        <f>+C25-B25</f>
        <v>27.599999999999454</v>
      </c>
      <c r="G25">
        <v>28</v>
      </c>
      <c r="H25" s="20"/>
      <c r="I25" s="20"/>
    </row>
    <row r="26" spans="2:11" ht="16.5" x14ac:dyDescent="0.25">
      <c r="B26" s="30">
        <v>4757</v>
      </c>
      <c r="C26" s="30">
        <v>6279.4</v>
      </c>
      <c r="E26" s="20"/>
    </row>
    <row r="27" spans="2:11" ht="17.25" thickBot="1" x14ac:dyDescent="0.3">
      <c r="B27" s="282">
        <v>4398</v>
      </c>
      <c r="C27" s="282">
        <v>2446</v>
      </c>
      <c r="E27" s="20">
        <f t="shared" ref="E27" si="1">+C27-B27</f>
        <v>-1952</v>
      </c>
      <c r="G27" s="20">
        <f>+C27-B27</f>
        <v>-1952</v>
      </c>
    </row>
  </sheetData>
  <mergeCells count="1">
    <mergeCell ref="C3:C4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4:N23"/>
  <sheetViews>
    <sheetView workbookViewId="0">
      <selection activeCell="C5" sqref="C5:C7"/>
    </sheetView>
  </sheetViews>
  <sheetFormatPr baseColWidth="10" defaultRowHeight="15" x14ac:dyDescent="0.25"/>
  <cols>
    <col min="1" max="1" width="11.5703125" style="348"/>
    <col min="2" max="3" width="17.28515625" customWidth="1"/>
    <col min="4" max="4" width="16.7109375" customWidth="1"/>
    <col min="5" max="5" width="12.85546875" customWidth="1"/>
    <col min="6" max="6" width="13.5703125" bestFit="1" customWidth="1"/>
    <col min="7" max="7" width="12.5703125" bestFit="1" customWidth="1"/>
    <col min="8" max="8" width="12.5703125" customWidth="1"/>
    <col min="9" max="10" width="12.5703125" bestFit="1" customWidth="1"/>
    <col min="11" max="11" width="12.5703125" customWidth="1"/>
    <col min="13" max="13" width="17.42578125" customWidth="1"/>
  </cols>
  <sheetData>
    <row r="4" spans="1:14" ht="45" x14ac:dyDescent="0.25">
      <c r="A4" s="351" t="s">
        <v>359</v>
      </c>
      <c r="B4" s="351" t="s">
        <v>288</v>
      </c>
      <c r="C4" s="351" t="s">
        <v>390</v>
      </c>
      <c r="D4" s="352" t="s">
        <v>358</v>
      </c>
      <c r="E4" s="355" t="s">
        <v>354</v>
      </c>
      <c r="F4" s="357" t="s">
        <v>356</v>
      </c>
      <c r="G4" s="352" t="s">
        <v>357</v>
      </c>
      <c r="H4" s="352" t="s">
        <v>391</v>
      </c>
      <c r="I4" s="355" t="s">
        <v>360</v>
      </c>
      <c r="J4" s="357" t="s">
        <v>355</v>
      </c>
      <c r="K4" s="361"/>
      <c r="M4" t="s">
        <v>361</v>
      </c>
      <c r="N4" t="s">
        <v>336</v>
      </c>
    </row>
    <row r="5" spans="1:14" x14ac:dyDescent="0.25">
      <c r="A5" s="351">
        <v>2019</v>
      </c>
      <c r="B5" s="363">
        <f t="shared" ref="B5" si="0">+B16/1000000</f>
        <v>39.026756037647708</v>
      </c>
      <c r="C5" s="399"/>
      <c r="D5">
        <v>41.3</v>
      </c>
      <c r="E5" s="363"/>
      <c r="F5" s="363"/>
      <c r="G5">
        <v>6.6</v>
      </c>
      <c r="H5" s="363">
        <f>+H16/1000000</f>
        <v>3.7392618967200004</v>
      </c>
      <c r="I5" s="363"/>
      <c r="J5" s="363"/>
      <c r="K5" s="361"/>
    </row>
    <row r="6" spans="1:14" x14ac:dyDescent="0.25">
      <c r="A6" s="351">
        <v>2018</v>
      </c>
      <c r="B6" s="363">
        <f t="shared" ref="B6" si="1">+B17/1000000</f>
        <v>39.569008946091486</v>
      </c>
      <c r="C6" s="399"/>
      <c r="D6">
        <v>41.6</v>
      </c>
      <c r="E6" s="363">
        <f>39.8-1.04</f>
        <v>38.76</v>
      </c>
      <c r="F6" s="363"/>
      <c r="G6">
        <f>7+1.04</f>
        <v>8.0399999999999991</v>
      </c>
      <c r="H6" s="363">
        <f>+H17/1000000</f>
        <v>3.6659430360000003</v>
      </c>
      <c r="I6" s="363">
        <v>5.2</v>
      </c>
      <c r="J6" s="363"/>
      <c r="K6" s="401"/>
    </row>
    <row r="7" spans="1:14" x14ac:dyDescent="0.25">
      <c r="A7" s="351">
        <v>2017</v>
      </c>
      <c r="B7" s="363">
        <f t="shared" ref="B7:G8" si="2">+B18/1000000</f>
        <v>48.839100000000002</v>
      </c>
      <c r="C7" s="400"/>
      <c r="D7" s="363">
        <v>41.1</v>
      </c>
      <c r="E7" s="363">
        <v>35.700000000000003</v>
      </c>
      <c r="F7" s="363">
        <v>32.4</v>
      </c>
      <c r="G7" s="363">
        <v>7.7</v>
      </c>
      <c r="H7" s="366">
        <f>+H18/100000</f>
        <v>35.940618000000001</v>
      </c>
      <c r="I7" s="363">
        <v>4</v>
      </c>
      <c r="J7" s="363">
        <v>3.8</v>
      </c>
      <c r="K7" s="362"/>
      <c r="L7" s="360">
        <v>2017</v>
      </c>
      <c r="M7" s="57" t="e">
        <f>+#REF!+E7</f>
        <v>#REF!</v>
      </c>
      <c r="N7" s="57">
        <f>+J7+G7</f>
        <v>11.5</v>
      </c>
    </row>
    <row r="8" spans="1:14" x14ac:dyDescent="0.25">
      <c r="A8" s="349">
        <v>2016</v>
      </c>
      <c r="B8" s="363">
        <f t="shared" si="2"/>
        <v>47.258665000000001</v>
      </c>
      <c r="D8" s="363">
        <f t="shared" si="2"/>
        <v>39.302</v>
      </c>
      <c r="E8" s="363">
        <f t="shared" si="2"/>
        <v>37.148000000000003</v>
      </c>
      <c r="F8" s="363">
        <f t="shared" si="2"/>
        <v>37.148000000000003</v>
      </c>
      <c r="G8" s="363">
        <f t="shared" si="2"/>
        <v>7.9566650000000001</v>
      </c>
      <c r="H8" s="363"/>
      <c r="I8" s="363">
        <v>7.7</v>
      </c>
      <c r="J8" s="363">
        <v>6.4</v>
      </c>
      <c r="K8" s="362"/>
      <c r="L8" s="360">
        <v>2016</v>
      </c>
      <c r="M8" s="57">
        <f t="shared" ref="M8:M12" si="3">+I8+E8</f>
        <v>44.848000000000006</v>
      </c>
      <c r="N8" s="57">
        <f t="shared" ref="N8:N12" si="4">+J8+F8</f>
        <v>43.548000000000002</v>
      </c>
    </row>
    <row r="9" spans="1:14" x14ac:dyDescent="0.25">
      <c r="A9" s="349">
        <v>2015</v>
      </c>
      <c r="B9" s="363">
        <f t="shared" ref="B9:J9" si="5">+B20/1000000</f>
        <v>41.969124999999998</v>
      </c>
      <c r="C9" s="363"/>
      <c r="D9" s="363">
        <f t="shared" si="5"/>
        <v>36.460099999999997</v>
      </c>
      <c r="E9" s="363">
        <f t="shared" si="5"/>
        <v>32.51</v>
      </c>
      <c r="F9" s="363">
        <f t="shared" si="5"/>
        <v>32.091000000000001</v>
      </c>
      <c r="G9" s="363">
        <f t="shared" si="5"/>
        <v>5.5090250000000003</v>
      </c>
      <c r="H9" s="363"/>
      <c r="I9" s="363">
        <f t="shared" si="5"/>
        <v>3.54</v>
      </c>
      <c r="J9" s="363">
        <f t="shared" si="5"/>
        <v>3.6179999999999999</v>
      </c>
      <c r="K9" s="362"/>
      <c r="L9" s="360">
        <v>2015</v>
      </c>
      <c r="M9" s="57">
        <f t="shared" si="3"/>
        <v>36.049999999999997</v>
      </c>
      <c r="N9" s="57">
        <f t="shared" si="4"/>
        <v>35.709000000000003</v>
      </c>
    </row>
    <row r="10" spans="1:14" x14ac:dyDescent="0.25">
      <c r="A10" s="349">
        <v>2014</v>
      </c>
      <c r="B10" s="363">
        <f t="shared" ref="B10:J10" si="6">+B21/1000000</f>
        <v>34.196244</v>
      </c>
      <c r="C10" s="363"/>
      <c r="D10" s="363">
        <f t="shared" si="6"/>
        <v>30.117999999999999</v>
      </c>
      <c r="E10" s="363">
        <f t="shared" si="6"/>
        <v>27.873000000000001</v>
      </c>
      <c r="F10" s="363">
        <f t="shared" si="6"/>
        <v>24.972000000000001</v>
      </c>
      <c r="G10" s="363">
        <f t="shared" si="6"/>
        <v>4.0782439999999998</v>
      </c>
      <c r="H10" s="363"/>
      <c r="I10" s="363">
        <f t="shared" si="6"/>
        <v>3.484</v>
      </c>
      <c r="J10" s="363">
        <f t="shared" si="6"/>
        <v>3.2440000000000002</v>
      </c>
      <c r="K10" s="362"/>
      <c r="L10" s="360">
        <v>2014</v>
      </c>
      <c r="M10" s="57">
        <f t="shared" si="3"/>
        <v>31.356999999999999</v>
      </c>
      <c r="N10" s="359">
        <f t="shared" si="4"/>
        <v>28.216000000000001</v>
      </c>
    </row>
    <row r="11" spans="1:14" x14ac:dyDescent="0.25">
      <c r="A11" s="349">
        <v>2013</v>
      </c>
      <c r="B11" s="363">
        <f t="shared" ref="B11:J11" si="7">+B22/1000000</f>
        <v>31.642499999999998</v>
      </c>
      <c r="C11" s="363"/>
      <c r="D11" s="363">
        <f t="shared" si="7"/>
        <v>28.376000000000001</v>
      </c>
      <c r="E11" s="363">
        <f t="shared" si="7"/>
        <v>25.57</v>
      </c>
      <c r="F11" s="363">
        <f t="shared" si="7"/>
        <v>24.231425999999999</v>
      </c>
      <c r="G11" s="363">
        <f t="shared" si="7"/>
        <v>3.2665000000000002</v>
      </c>
      <c r="H11" s="363"/>
      <c r="I11" s="363">
        <f t="shared" si="7"/>
        <v>3.3389470000000001</v>
      </c>
      <c r="J11" s="363">
        <f t="shared" si="7"/>
        <v>3.3389470000000001</v>
      </c>
      <c r="K11" s="362"/>
      <c r="L11" s="360">
        <v>2013</v>
      </c>
      <c r="M11" s="57">
        <f t="shared" si="3"/>
        <v>28.908947000000001</v>
      </c>
      <c r="N11" s="359">
        <f t="shared" si="4"/>
        <v>27.570373</v>
      </c>
    </row>
    <row r="12" spans="1:14" x14ac:dyDescent="0.25">
      <c r="A12" s="349">
        <v>2012</v>
      </c>
      <c r="B12" s="363">
        <f t="shared" ref="B12:J12" si="8">+B23/1000000</f>
        <v>24.369499999999999</v>
      </c>
      <c r="C12" s="363"/>
      <c r="D12" s="363">
        <f t="shared" si="8"/>
        <v>20.768999999999998</v>
      </c>
      <c r="E12" s="363">
        <f t="shared" si="8"/>
        <v>23.295999999999999</v>
      </c>
      <c r="F12" s="363">
        <f t="shared" si="8"/>
        <v>16.037987000000001</v>
      </c>
      <c r="G12" s="363">
        <f t="shared" si="8"/>
        <v>3.6004999999999998</v>
      </c>
      <c r="H12" s="363"/>
      <c r="I12" s="363">
        <f t="shared" si="8"/>
        <v>3.3439999999999999</v>
      </c>
      <c r="J12" s="363">
        <f t="shared" si="8"/>
        <v>3.2844699999999998</v>
      </c>
      <c r="K12" s="362"/>
      <c r="L12" s="360">
        <v>2012</v>
      </c>
      <c r="M12" s="57">
        <f t="shared" si="3"/>
        <v>26.64</v>
      </c>
      <c r="N12" s="359">
        <f t="shared" si="4"/>
        <v>19.322457</v>
      </c>
    </row>
    <row r="15" spans="1:14" ht="30" x14ac:dyDescent="0.25">
      <c r="A15" s="351" t="s">
        <v>359</v>
      </c>
      <c r="B15" s="351" t="s">
        <v>288</v>
      </c>
      <c r="C15" s="351"/>
      <c r="D15" s="352" t="s">
        <v>358</v>
      </c>
      <c r="E15" s="355" t="s">
        <v>354</v>
      </c>
      <c r="F15" s="357" t="s">
        <v>356</v>
      </c>
      <c r="G15" s="352" t="s">
        <v>357</v>
      </c>
      <c r="H15" s="352"/>
      <c r="I15" s="355" t="s">
        <v>360</v>
      </c>
      <c r="J15" s="357" t="s">
        <v>355</v>
      </c>
    </row>
    <row r="16" spans="1:14" x14ac:dyDescent="0.25">
      <c r="A16" s="351">
        <v>2019</v>
      </c>
      <c r="B16" s="365">
        <f>+C16+H16</f>
        <v>39026756.037647709</v>
      </c>
      <c r="C16" s="364">
        <f>+'Plan Estratégico'!H11</f>
        <v>35287494.14092771</v>
      </c>
      <c r="E16" s="355"/>
      <c r="F16" s="357"/>
      <c r="H16" s="364">
        <f>+'Plan Estratégico'!H22</f>
        <v>3739261.8967200005</v>
      </c>
      <c r="I16" s="355"/>
      <c r="J16" s="357"/>
    </row>
    <row r="17" spans="1:10" x14ac:dyDescent="0.25">
      <c r="A17" s="351">
        <v>2018</v>
      </c>
      <c r="B17" s="365">
        <f>+C17+H17</f>
        <v>39569008.946091488</v>
      </c>
      <c r="C17" s="364">
        <f>+'Plan Estratégico'!G11</f>
        <v>35903065.91009149</v>
      </c>
      <c r="E17" s="355"/>
      <c r="F17" s="357"/>
      <c r="H17" s="364">
        <f>+'Plan Estratégico'!G22</f>
        <v>3665943.0360000003</v>
      </c>
      <c r="I17" s="355"/>
      <c r="J17" s="357"/>
    </row>
    <row r="18" spans="1:10" x14ac:dyDescent="0.25">
      <c r="A18" s="351">
        <v>2017</v>
      </c>
      <c r="B18" s="350">
        <v>48839100</v>
      </c>
      <c r="C18" s="364">
        <f>+'Plan Estratégico'!F11</f>
        <v>35759217.173948914</v>
      </c>
      <c r="D18" s="65">
        <v>48481200.000000007</v>
      </c>
      <c r="E18" s="356">
        <v>48481200.000000007</v>
      </c>
      <c r="F18" s="358">
        <v>48481200.000000007</v>
      </c>
      <c r="G18" s="65">
        <v>6048000</v>
      </c>
      <c r="H18" s="364">
        <f>+'Plan Estratégico'!F22</f>
        <v>3594061.8000000003</v>
      </c>
      <c r="I18" s="356">
        <v>6048000</v>
      </c>
      <c r="J18" s="358">
        <v>6048000</v>
      </c>
    </row>
    <row r="19" spans="1:10" x14ac:dyDescent="0.25">
      <c r="A19" s="349">
        <v>2016</v>
      </c>
      <c r="B19" s="350">
        <v>47258665</v>
      </c>
      <c r="C19" s="350"/>
      <c r="D19" s="65">
        <v>39302000</v>
      </c>
      <c r="E19" s="356">
        <v>37148000</v>
      </c>
      <c r="F19" s="358">
        <v>37148000</v>
      </c>
      <c r="G19" s="65">
        <v>7956665</v>
      </c>
      <c r="H19" s="65"/>
      <c r="I19" s="356">
        <v>6586000</v>
      </c>
      <c r="J19" s="358">
        <v>6586000</v>
      </c>
    </row>
    <row r="20" spans="1:10" x14ac:dyDescent="0.25">
      <c r="A20" s="349">
        <v>2015</v>
      </c>
      <c r="B20" s="350">
        <v>41969125</v>
      </c>
      <c r="C20" s="350"/>
      <c r="D20" s="65">
        <v>36460100</v>
      </c>
      <c r="E20" s="356">
        <v>32510000</v>
      </c>
      <c r="F20" s="358">
        <v>32091000</v>
      </c>
      <c r="G20" s="65">
        <v>5509025</v>
      </c>
      <c r="H20" s="65"/>
      <c r="I20" s="356">
        <v>3540000</v>
      </c>
      <c r="J20" s="358">
        <v>3618000</v>
      </c>
    </row>
    <row r="21" spans="1:10" x14ac:dyDescent="0.25">
      <c r="A21" s="349">
        <v>2014</v>
      </c>
      <c r="B21" s="350">
        <v>34196244</v>
      </c>
      <c r="C21" s="350"/>
      <c r="D21" s="65">
        <v>30118000</v>
      </c>
      <c r="E21" s="356">
        <v>27873000</v>
      </c>
      <c r="F21" s="358">
        <v>24972000</v>
      </c>
      <c r="G21" s="65">
        <v>4078244</v>
      </c>
      <c r="H21" s="65"/>
      <c r="I21" s="356">
        <v>3484000</v>
      </c>
      <c r="J21" s="358">
        <v>3244000</v>
      </c>
    </row>
    <row r="22" spans="1:10" x14ac:dyDescent="0.25">
      <c r="A22" s="349">
        <v>2013</v>
      </c>
      <c r="B22" s="350">
        <v>31642500</v>
      </c>
      <c r="C22" s="350"/>
      <c r="D22" s="65">
        <v>28376000</v>
      </c>
      <c r="E22" s="356">
        <v>25570000</v>
      </c>
      <c r="F22" s="358">
        <v>24231426</v>
      </c>
      <c r="G22" s="65">
        <v>3266500</v>
      </c>
      <c r="H22" s="65"/>
      <c r="I22" s="356">
        <v>3338947</v>
      </c>
      <c r="J22" s="358">
        <v>3338947</v>
      </c>
    </row>
    <row r="23" spans="1:10" x14ac:dyDescent="0.25">
      <c r="A23" s="349">
        <v>2012</v>
      </c>
      <c r="B23" s="350">
        <v>24369500</v>
      </c>
      <c r="C23" s="350"/>
      <c r="D23" s="65">
        <v>20769000</v>
      </c>
      <c r="E23" s="356">
        <v>23296000</v>
      </c>
      <c r="F23" s="358">
        <v>16037987</v>
      </c>
      <c r="G23" s="65">
        <v>3600500</v>
      </c>
      <c r="H23" s="65"/>
      <c r="I23" s="356">
        <v>3344000</v>
      </c>
      <c r="J23" s="358">
        <v>3284470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3:D12"/>
  <sheetViews>
    <sheetView showGridLines="0" workbookViewId="0">
      <selection activeCell="E9" sqref="E9"/>
    </sheetView>
  </sheetViews>
  <sheetFormatPr baseColWidth="10" defaultRowHeight="15" x14ac:dyDescent="0.25"/>
  <cols>
    <col min="1" max="1" width="17.5703125" bestFit="1" customWidth="1"/>
    <col min="2" max="2" width="23" bestFit="1" customWidth="1"/>
    <col min="3" max="3" width="30.28515625" bestFit="1" customWidth="1"/>
    <col min="4" max="5" width="20.42578125" bestFit="1" customWidth="1"/>
  </cols>
  <sheetData>
    <row r="3" spans="1:4" x14ac:dyDescent="0.25">
      <c r="A3" s="353" t="s">
        <v>301</v>
      </c>
      <c r="B3" t="s">
        <v>404</v>
      </c>
      <c r="C3" t="s">
        <v>405</v>
      </c>
      <c r="D3" t="s">
        <v>406</v>
      </c>
    </row>
    <row r="4" spans="1:4" x14ac:dyDescent="0.25">
      <c r="A4" s="354">
        <v>2012</v>
      </c>
      <c r="B4" s="57">
        <v>20.768999999999998</v>
      </c>
      <c r="C4" s="57">
        <v>23.295999999999999</v>
      </c>
      <c r="D4" s="57">
        <v>16.037987000000001</v>
      </c>
    </row>
    <row r="5" spans="1:4" x14ac:dyDescent="0.25">
      <c r="A5" s="354">
        <v>2013</v>
      </c>
      <c r="B5" s="57">
        <v>28.376000000000001</v>
      </c>
      <c r="C5" s="57">
        <v>25.57</v>
      </c>
      <c r="D5" s="57">
        <v>24.231425999999999</v>
      </c>
    </row>
    <row r="6" spans="1:4" x14ac:dyDescent="0.25">
      <c r="A6" s="354">
        <v>2014</v>
      </c>
      <c r="B6" s="57">
        <v>30.117999999999999</v>
      </c>
      <c r="C6" s="57">
        <v>27.873000000000001</v>
      </c>
      <c r="D6" s="57">
        <v>24.972000000000001</v>
      </c>
    </row>
    <row r="7" spans="1:4" x14ac:dyDescent="0.25">
      <c r="A7" s="354">
        <v>2015</v>
      </c>
      <c r="B7" s="57">
        <v>36.460099999999997</v>
      </c>
      <c r="C7" s="57">
        <v>32.51</v>
      </c>
      <c r="D7" s="57">
        <v>32.091000000000001</v>
      </c>
    </row>
    <row r="8" spans="1:4" x14ac:dyDescent="0.25">
      <c r="A8" s="354">
        <v>2016</v>
      </c>
      <c r="B8" s="57">
        <v>39.302</v>
      </c>
      <c r="C8" s="57">
        <v>37.148000000000003</v>
      </c>
      <c r="D8" s="57">
        <v>37.148000000000003</v>
      </c>
    </row>
    <row r="9" spans="1:4" x14ac:dyDescent="0.25">
      <c r="A9" s="354">
        <v>2017</v>
      </c>
      <c r="B9" s="57">
        <v>41.1</v>
      </c>
      <c r="C9" s="57">
        <v>35.700000000000003</v>
      </c>
      <c r="D9" s="57">
        <v>32.4</v>
      </c>
    </row>
    <row r="10" spans="1:4" x14ac:dyDescent="0.25">
      <c r="A10" s="354">
        <v>2018</v>
      </c>
      <c r="B10" s="57">
        <v>41.6</v>
      </c>
      <c r="C10" s="57">
        <v>38.76</v>
      </c>
      <c r="D10" s="57"/>
    </row>
    <row r="11" spans="1:4" x14ac:dyDescent="0.25">
      <c r="A11" s="354">
        <v>2019</v>
      </c>
      <c r="B11" s="57">
        <v>41.3</v>
      </c>
      <c r="C11" s="57"/>
      <c r="D11" s="57"/>
    </row>
    <row r="12" spans="1:4" x14ac:dyDescent="0.25">
      <c r="A12" s="354" t="s">
        <v>279</v>
      </c>
      <c r="B12" s="39">
        <v>279.02509999999995</v>
      </c>
      <c r="C12" s="39">
        <v>220.85699999999997</v>
      </c>
      <c r="D12" s="39">
        <v>166.880413</v>
      </c>
    </row>
  </sheetData>
  <pageMargins left="0.7" right="0.7" top="0.75" bottom="0.75" header="0.3" footer="0.3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3:D23"/>
  <sheetViews>
    <sheetView topLeftCell="A13" workbookViewId="0">
      <selection activeCell="G19" sqref="G19"/>
    </sheetView>
  </sheetViews>
  <sheetFormatPr baseColWidth="10" defaultRowHeight="15" x14ac:dyDescent="0.25"/>
  <cols>
    <col min="1" max="1" width="25.140625" customWidth="1"/>
    <col min="2" max="2" width="20.5703125" customWidth="1"/>
    <col min="3" max="3" width="15.5703125" customWidth="1"/>
    <col min="4" max="5" width="11.5703125" customWidth="1"/>
  </cols>
  <sheetData>
    <row r="3" spans="1:3" x14ac:dyDescent="0.25">
      <c r="A3" t="s">
        <v>394</v>
      </c>
      <c r="B3" t="s">
        <v>395</v>
      </c>
      <c r="C3">
        <v>2015</v>
      </c>
    </row>
    <row r="4" spans="1:3" x14ac:dyDescent="0.25">
      <c r="A4" t="s">
        <v>11</v>
      </c>
      <c r="B4" t="s">
        <v>392</v>
      </c>
      <c r="C4">
        <v>78</v>
      </c>
    </row>
    <row r="5" spans="1:3" x14ac:dyDescent="0.25">
      <c r="A5" t="s">
        <v>11</v>
      </c>
      <c r="B5" t="s">
        <v>393</v>
      </c>
      <c r="C5">
        <v>100</v>
      </c>
    </row>
    <row r="6" spans="1:3" x14ac:dyDescent="0.25">
      <c r="A6" t="s">
        <v>12</v>
      </c>
      <c r="B6" t="s">
        <v>392</v>
      </c>
      <c r="C6">
        <v>47</v>
      </c>
    </row>
    <row r="7" spans="1:3" x14ac:dyDescent="0.25">
      <c r="A7" t="s">
        <v>12</v>
      </c>
      <c r="B7" t="s">
        <v>393</v>
      </c>
      <c r="C7">
        <v>20</v>
      </c>
    </row>
    <row r="14" spans="1:3" x14ac:dyDescent="0.25">
      <c r="A14" t="s">
        <v>359</v>
      </c>
      <c r="B14" t="s">
        <v>396</v>
      </c>
      <c r="C14" t="s">
        <v>397</v>
      </c>
    </row>
    <row r="15" spans="1:3" x14ac:dyDescent="0.25">
      <c r="A15">
        <v>2014</v>
      </c>
      <c r="B15">
        <v>68</v>
      </c>
      <c r="C15">
        <v>45</v>
      </c>
    </row>
    <row r="16" spans="1:3" x14ac:dyDescent="0.25">
      <c r="A16">
        <v>2015</v>
      </c>
      <c r="B16">
        <v>78</v>
      </c>
      <c r="C16">
        <v>47</v>
      </c>
    </row>
    <row r="17" spans="1:4" x14ac:dyDescent="0.25">
      <c r="A17">
        <v>2016</v>
      </c>
      <c r="B17">
        <v>88</v>
      </c>
      <c r="C17">
        <v>57</v>
      </c>
    </row>
    <row r="21" spans="1:4" x14ac:dyDescent="0.25">
      <c r="B21">
        <v>2014</v>
      </c>
      <c r="C21">
        <v>2015</v>
      </c>
      <c r="D21">
        <v>2016</v>
      </c>
    </row>
    <row r="22" spans="1:4" x14ac:dyDescent="0.25">
      <c r="A22" t="s">
        <v>11</v>
      </c>
      <c r="B22">
        <v>68</v>
      </c>
      <c r="C22">
        <v>78</v>
      </c>
      <c r="D22">
        <v>88</v>
      </c>
    </row>
    <row r="23" spans="1:4" x14ac:dyDescent="0.25">
      <c r="A23" t="s">
        <v>12</v>
      </c>
      <c r="B23">
        <v>45</v>
      </c>
      <c r="C23">
        <v>47</v>
      </c>
      <c r="D23">
        <v>57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3:Y123"/>
  <sheetViews>
    <sheetView showGridLines="0" topLeftCell="H9" zoomScale="70" zoomScaleNormal="70" workbookViewId="0">
      <selection activeCell="R26" sqref="R26"/>
    </sheetView>
  </sheetViews>
  <sheetFormatPr baseColWidth="10" defaultRowHeight="15" x14ac:dyDescent="0.25"/>
  <cols>
    <col min="2" max="2" width="55.28515625" bestFit="1" customWidth="1"/>
    <col min="3" max="3" width="18.140625" customWidth="1"/>
    <col min="4" max="4" width="14.42578125" customWidth="1"/>
    <col min="5" max="5" width="12.5703125" bestFit="1" customWidth="1"/>
    <col min="6" max="7" width="12.7109375" bestFit="1" customWidth="1"/>
    <col min="8" max="8" width="15.7109375" customWidth="1"/>
    <col min="9" max="9" width="11" bestFit="1" customWidth="1"/>
    <col min="10" max="10" width="12.7109375" hidden="1" customWidth="1"/>
    <col min="11" max="11" width="11" hidden="1" customWidth="1"/>
    <col min="12" max="12" width="10.28515625" style="40" customWidth="1"/>
    <col min="13" max="13" width="8.7109375" style="36" customWidth="1"/>
    <col min="14" max="14" width="16.28515625" style="20" bestFit="1" customWidth="1"/>
    <col min="15" max="15" width="7.5703125" style="36" customWidth="1"/>
    <col min="16" max="16" width="14.42578125" customWidth="1"/>
    <col min="17" max="17" width="11" customWidth="1"/>
    <col min="18" max="18" width="17.28515625" customWidth="1"/>
    <col min="19" max="19" width="14.85546875" customWidth="1"/>
    <col min="20" max="20" width="14.140625" customWidth="1"/>
    <col min="21" max="21" width="17" customWidth="1"/>
    <col min="22" max="22" width="20.7109375" customWidth="1"/>
    <col min="24" max="24" width="15.28515625" customWidth="1"/>
    <col min="25" max="25" width="12.7109375" bestFit="1" customWidth="1"/>
    <col min="245" max="245" width="37.42578125" bestFit="1" customWidth="1"/>
    <col min="246" max="246" width="13.85546875" bestFit="1" customWidth="1"/>
    <col min="247" max="247" width="13.42578125" customWidth="1"/>
    <col min="248" max="248" width="7.85546875" bestFit="1" customWidth="1"/>
    <col min="249" max="249" width="13.28515625" customWidth="1"/>
    <col min="250" max="250" width="7.7109375" bestFit="1" customWidth="1"/>
    <col min="251" max="251" width="14.7109375" customWidth="1"/>
    <col min="252" max="252" width="7.85546875" bestFit="1" customWidth="1"/>
    <col min="501" max="501" width="37.42578125" bestFit="1" customWidth="1"/>
    <col min="502" max="502" width="13.85546875" bestFit="1" customWidth="1"/>
    <col min="503" max="503" width="13.42578125" customWidth="1"/>
    <col min="504" max="504" width="7.85546875" bestFit="1" customWidth="1"/>
    <col min="505" max="505" width="13.28515625" customWidth="1"/>
    <col min="506" max="506" width="7.7109375" bestFit="1" customWidth="1"/>
    <col min="507" max="507" width="14.7109375" customWidth="1"/>
    <col min="508" max="508" width="7.85546875" bestFit="1" customWidth="1"/>
    <col min="757" max="757" width="37.42578125" bestFit="1" customWidth="1"/>
    <col min="758" max="758" width="13.85546875" bestFit="1" customWidth="1"/>
    <col min="759" max="759" width="13.42578125" customWidth="1"/>
    <col min="760" max="760" width="7.85546875" bestFit="1" customWidth="1"/>
    <col min="761" max="761" width="13.28515625" customWidth="1"/>
    <col min="762" max="762" width="7.7109375" bestFit="1" customWidth="1"/>
    <col min="763" max="763" width="14.7109375" customWidth="1"/>
    <col min="764" max="764" width="7.85546875" bestFit="1" customWidth="1"/>
    <col min="1013" max="1013" width="37.42578125" bestFit="1" customWidth="1"/>
    <col min="1014" max="1014" width="13.85546875" bestFit="1" customWidth="1"/>
    <col min="1015" max="1015" width="13.42578125" customWidth="1"/>
    <col min="1016" max="1016" width="7.85546875" bestFit="1" customWidth="1"/>
    <col min="1017" max="1017" width="13.28515625" customWidth="1"/>
    <col min="1018" max="1018" width="7.7109375" bestFit="1" customWidth="1"/>
    <col min="1019" max="1019" width="14.7109375" customWidth="1"/>
    <col min="1020" max="1020" width="7.85546875" bestFit="1" customWidth="1"/>
    <col min="1269" max="1269" width="37.42578125" bestFit="1" customWidth="1"/>
    <col min="1270" max="1270" width="13.85546875" bestFit="1" customWidth="1"/>
    <col min="1271" max="1271" width="13.42578125" customWidth="1"/>
    <col min="1272" max="1272" width="7.85546875" bestFit="1" customWidth="1"/>
    <col min="1273" max="1273" width="13.28515625" customWidth="1"/>
    <col min="1274" max="1274" width="7.7109375" bestFit="1" customWidth="1"/>
    <col min="1275" max="1275" width="14.7109375" customWidth="1"/>
    <col min="1276" max="1276" width="7.85546875" bestFit="1" customWidth="1"/>
    <col min="1525" max="1525" width="37.42578125" bestFit="1" customWidth="1"/>
    <col min="1526" max="1526" width="13.85546875" bestFit="1" customWidth="1"/>
    <col min="1527" max="1527" width="13.42578125" customWidth="1"/>
    <col min="1528" max="1528" width="7.85546875" bestFit="1" customWidth="1"/>
    <col min="1529" max="1529" width="13.28515625" customWidth="1"/>
    <col min="1530" max="1530" width="7.7109375" bestFit="1" customWidth="1"/>
    <col min="1531" max="1531" width="14.7109375" customWidth="1"/>
    <col min="1532" max="1532" width="7.85546875" bestFit="1" customWidth="1"/>
    <col min="1781" max="1781" width="37.42578125" bestFit="1" customWidth="1"/>
    <col min="1782" max="1782" width="13.85546875" bestFit="1" customWidth="1"/>
    <col min="1783" max="1783" width="13.42578125" customWidth="1"/>
    <col min="1784" max="1784" width="7.85546875" bestFit="1" customWidth="1"/>
    <col min="1785" max="1785" width="13.28515625" customWidth="1"/>
    <col min="1786" max="1786" width="7.7109375" bestFit="1" customWidth="1"/>
    <col min="1787" max="1787" width="14.7109375" customWidth="1"/>
    <col min="1788" max="1788" width="7.85546875" bestFit="1" customWidth="1"/>
    <col min="2037" max="2037" width="37.42578125" bestFit="1" customWidth="1"/>
    <col min="2038" max="2038" width="13.85546875" bestFit="1" customWidth="1"/>
    <col min="2039" max="2039" width="13.42578125" customWidth="1"/>
    <col min="2040" max="2040" width="7.85546875" bestFit="1" customWidth="1"/>
    <col min="2041" max="2041" width="13.28515625" customWidth="1"/>
    <col min="2042" max="2042" width="7.7109375" bestFit="1" customWidth="1"/>
    <col min="2043" max="2043" width="14.7109375" customWidth="1"/>
    <col min="2044" max="2044" width="7.85546875" bestFit="1" customWidth="1"/>
    <col min="2293" max="2293" width="37.42578125" bestFit="1" customWidth="1"/>
    <col min="2294" max="2294" width="13.85546875" bestFit="1" customWidth="1"/>
    <col min="2295" max="2295" width="13.42578125" customWidth="1"/>
    <col min="2296" max="2296" width="7.85546875" bestFit="1" customWidth="1"/>
    <col min="2297" max="2297" width="13.28515625" customWidth="1"/>
    <col min="2298" max="2298" width="7.7109375" bestFit="1" customWidth="1"/>
    <col min="2299" max="2299" width="14.7109375" customWidth="1"/>
    <col min="2300" max="2300" width="7.85546875" bestFit="1" customWidth="1"/>
    <col min="2549" max="2549" width="37.42578125" bestFit="1" customWidth="1"/>
    <col min="2550" max="2550" width="13.85546875" bestFit="1" customWidth="1"/>
    <col min="2551" max="2551" width="13.42578125" customWidth="1"/>
    <col min="2552" max="2552" width="7.85546875" bestFit="1" customWidth="1"/>
    <col min="2553" max="2553" width="13.28515625" customWidth="1"/>
    <col min="2554" max="2554" width="7.7109375" bestFit="1" customWidth="1"/>
    <col min="2555" max="2555" width="14.7109375" customWidth="1"/>
    <col min="2556" max="2556" width="7.85546875" bestFit="1" customWidth="1"/>
    <col min="2805" max="2805" width="37.42578125" bestFit="1" customWidth="1"/>
    <col min="2806" max="2806" width="13.85546875" bestFit="1" customWidth="1"/>
    <col min="2807" max="2807" width="13.42578125" customWidth="1"/>
    <col min="2808" max="2808" width="7.85546875" bestFit="1" customWidth="1"/>
    <col min="2809" max="2809" width="13.28515625" customWidth="1"/>
    <col min="2810" max="2810" width="7.7109375" bestFit="1" customWidth="1"/>
    <col min="2811" max="2811" width="14.7109375" customWidth="1"/>
    <col min="2812" max="2812" width="7.85546875" bestFit="1" customWidth="1"/>
    <col min="3061" max="3061" width="37.42578125" bestFit="1" customWidth="1"/>
    <col min="3062" max="3062" width="13.85546875" bestFit="1" customWidth="1"/>
    <col min="3063" max="3063" width="13.42578125" customWidth="1"/>
    <col min="3064" max="3064" width="7.85546875" bestFit="1" customWidth="1"/>
    <col min="3065" max="3065" width="13.28515625" customWidth="1"/>
    <col min="3066" max="3066" width="7.7109375" bestFit="1" customWidth="1"/>
    <col min="3067" max="3067" width="14.7109375" customWidth="1"/>
    <col min="3068" max="3068" width="7.85546875" bestFit="1" customWidth="1"/>
    <col min="3317" max="3317" width="37.42578125" bestFit="1" customWidth="1"/>
    <col min="3318" max="3318" width="13.85546875" bestFit="1" customWidth="1"/>
    <col min="3319" max="3319" width="13.42578125" customWidth="1"/>
    <col min="3320" max="3320" width="7.85546875" bestFit="1" customWidth="1"/>
    <col min="3321" max="3321" width="13.28515625" customWidth="1"/>
    <col min="3322" max="3322" width="7.7109375" bestFit="1" customWidth="1"/>
    <col min="3323" max="3323" width="14.7109375" customWidth="1"/>
    <col min="3324" max="3324" width="7.85546875" bestFit="1" customWidth="1"/>
    <col min="3573" max="3573" width="37.42578125" bestFit="1" customWidth="1"/>
    <col min="3574" max="3574" width="13.85546875" bestFit="1" customWidth="1"/>
    <col min="3575" max="3575" width="13.42578125" customWidth="1"/>
    <col min="3576" max="3576" width="7.85546875" bestFit="1" customWidth="1"/>
    <col min="3577" max="3577" width="13.28515625" customWidth="1"/>
    <col min="3578" max="3578" width="7.7109375" bestFit="1" customWidth="1"/>
    <col min="3579" max="3579" width="14.7109375" customWidth="1"/>
    <col min="3580" max="3580" width="7.85546875" bestFit="1" customWidth="1"/>
    <col min="3829" max="3829" width="37.42578125" bestFit="1" customWidth="1"/>
    <col min="3830" max="3830" width="13.85546875" bestFit="1" customWidth="1"/>
    <col min="3831" max="3831" width="13.42578125" customWidth="1"/>
    <col min="3832" max="3832" width="7.85546875" bestFit="1" customWidth="1"/>
    <col min="3833" max="3833" width="13.28515625" customWidth="1"/>
    <col min="3834" max="3834" width="7.7109375" bestFit="1" customWidth="1"/>
    <col min="3835" max="3835" width="14.7109375" customWidth="1"/>
    <col min="3836" max="3836" width="7.85546875" bestFit="1" customWidth="1"/>
    <col min="4085" max="4085" width="37.42578125" bestFit="1" customWidth="1"/>
    <col min="4086" max="4086" width="13.85546875" bestFit="1" customWidth="1"/>
    <col min="4087" max="4087" width="13.42578125" customWidth="1"/>
    <col min="4088" max="4088" width="7.85546875" bestFit="1" customWidth="1"/>
    <col min="4089" max="4089" width="13.28515625" customWidth="1"/>
    <col min="4090" max="4090" width="7.7109375" bestFit="1" customWidth="1"/>
    <col min="4091" max="4091" width="14.7109375" customWidth="1"/>
    <col min="4092" max="4092" width="7.85546875" bestFit="1" customWidth="1"/>
    <col min="4341" max="4341" width="37.42578125" bestFit="1" customWidth="1"/>
    <col min="4342" max="4342" width="13.85546875" bestFit="1" customWidth="1"/>
    <col min="4343" max="4343" width="13.42578125" customWidth="1"/>
    <col min="4344" max="4344" width="7.85546875" bestFit="1" customWidth="1"/>
    <col min="4345" max="4345" width="13.28515625" customWidth="1"/>
    <col min="4346" max="4346" width="7.7109375" bestFit="1" customWidth="1"/>
    <col min="4347" max="4347" width="14.7109375" customWidth="1"/>
    <col min="4348" max="4348" width="7.85546875" bestFit="1" customWidth="1"/>
    <col min="4597" max="4597" width="37.42578125" bestFit="1" customWidth="1"/>
    <col min="4598" max="4598" width="13.85546875" bestFit="1" customWidth="1"/>
    <col min="4599" max="4599" width="13.42578125" customWidth="1"/>
    <col min="4600" max="4600" width="7.85546875" bestFit="1" customWidth="1"/>
    <col min="4601" max="4601" width="13.28515625" customWidth="1"/>
    <col min="4602" max="4602" width="7.7109375" bestFit="1" customWidth="1"/>
    <col min="4603" max="4603" width="14.7109375" customWidth="1"/>
    <col min="4604" max="4604" width="7.85546875" bestFit="1" customWidth="1"/>
    <col min="4853" max="4853" width="37.42578125" bestFit="1" customWidth="1"/>
    <col min="4854" max="4854" width="13.85546875" bestFit="1" customWidth="1"/>
    <col min="4855" max="4855" width="13.42578125" customWidth="1"/>
    <col min="4856" max="4856" width="7.85546875" bestFit="1" customWidth="1"/>
    <col min="4857" max="4857" width="13.28515625" customWidth="1"/>
    <col min="4858" max="4858" width="7.7109375" bestFit="1" customWidth="1"/>
    <col min="4859" max="4859" width="14.7109375" customWidth="1"/>
    <col min="4860" max="4860" width="7.85546875" bestFit="1" customWidth="1"/>
    <col min="5109" max="5109" width="37.42578125" bestFit="1" customWidth="1"/>
    <col min="5110" max="5110" width="13.85546875" bestFit="1" customWidth="1"/>
    <col min="5111" max="5111" width="13.42578125" customWidth="1"/>
    <col min="5112" max="5112" width="7.85546875" bestFit="1" customWidth="1"/>
    <col min="5113" max="5113" width="13.28515625" customWidth="1"/>
    <col min="5114" max="5114" width="7.7109375" bestFit="1" customWidth="1"/>
    <col min="5115" max="5115" width="14.7109375" customWidth="1"/>
    <col min="5116" max="5116" width="7.85546875" bestFit="1" customWidth="1"/>
    <col min="5365" max="5365" width="37.42578125" bestFit="1" customWidth="1"/>
    <col min="5366" max="5366" width="13.85546875" bestFit="1" customWidth="1"/>
    <col min="5367" max="5367" width="13.42578125" customWidth="1"/>
    <col min="5368" max="5368" width="7.85546875" bestFit="1" customWidth="1"/>
    <col min="5369" max="5369" width="13.28515625" customWidth="1"/>
    <col min="5370" max="5370" width="7.7109375" bestFit="1" customWidth="1"/>
    <col min="5371" max="5371" width="14.7109375" customWidth="1"/>
    <col min="5372" max="5372" width="7.85546875" bestFit="1" customWidth="1"/>
    <col min="5621" max="5621" width="37.42578125" bestFit="1" customWidth="1"/>
    <col min="5622" max="5622" width="13.85546875" bestFit="1" customWidth="1"/>
    <col min="5623" max="5623" width="13.42578125" customWidth="1"/>
    <col min="5624" max="5624" width="7.85546875" bestFit="1" customWidth="1"/>
    <col min="5625" max="5625" width="13.28515625" customWidth="1"/>
    <col min="5626" max="5626" width="7.7109375" bestFit="1" customWidth="1"/>
    <col min="5627" max="5627" width="14.7109375" customWidth="1"/>
    <col min="5628" max="5628" width="7.85546875" bestFit="1" customWidth="1"/>
    <col min="5877" max="5877" width="37.42578125" bestFit="1" customWidth="1"/>
    <col min="5878" max="5878" width="13.85546875" bestFit="1" customWidth="1"/>
    <col min="5879" max="5879" width="13.42578125" customWidth="1"/>
    <col min="5880" max="5880" width="7.85546875" bestFit="1" customWidth="1"/>
    <col min="5881" max="5881" width="13.28515625" customWidth="1"/>
    <col min="5882" max="5882" width="7.7109375" bestFit="1" customWidth="1"/>
    <col min="5883" max="5883" width="14.7109375" customWidth="1"/>
    <col min="5884" max="5884" width="7.85546875" bestFit="1" customWidth="1"/>
    <col min="6133" max="6133" width="37.42578125" bestFit="1" customWidth="1"/>
    <col min="6134" max="6134" width="13.85546875" bestFit="1" customWidth="1"/>
    <col min="6135" max="6135" width="13.42578125" customWidth="1"/>
    <col min="6136" max="6136" width="7.85546875" bestFit="1" customWidth="1"/>
    <col min="6137" max="6137" width="13.28515625" customWidth="1"/>
    <col min="6138" max="6138" width="7.7109375" bestFit="1" customWidth="1"/>
    <col min="6139" max="6139" width="14.7109375" customWidth="1"/>
    <col min="6140" max="6140" width="7.85546875" bestFit="1" customWidth="1"/>
    <col min="6389" max="6389" width="37.42578125" bestFit="1" customWidth="1"/>
    <col min="6390" max="6390" width="13.85546875" bestFit="1" customWidth="1"/>
    <col min="6391" max="6391" width="13.42578125" customWidth="1"/>
    <col min="6392" max="6392" width="7.85546875" bestFit="1" customWidth="1"/>
    <col min="6393" max="6393" width="13.28515625" customWidth="1"/>
    <col min="6394" max="6394" width="7.7109375" bestFit="1" customWidth="1"/>
    <col min="6395" max="6395" width="14.7109375" customWidth="1"/>
    <col min="6396" max="6396" width="7.85546875" bestFit="1" customWidth="1"/>
    <col min="6645" max="6645" width="37.42578125" bestFit="1" customWidth="1"/>
    <col min="6646" max="6646" width="13.85546875" bestFit="1" customWidth="1"/>
    <col min="6647" max="6647" width="13.42578125" customWidth="1"/>
    <col min="6648" max="6648" width="7.85546875" bestFit="1" customWidth="1"/>
    <col min="6649" max="6649" width="13.28515625" customWidth="1"/>
    <col min="6650" max="6650" width="7.7109375" bestFit="1" customWidth="1"/>
    <col min="6651" max="6651" width="14.7109375" customWidth="1"/>
    <col min="6652" max="6652" width="7.85546875" bestFit="1" customWidth="1"/>
    <col min="6901" max="6901" width="37.42578125" bestFit="1" customWidth="1"/>
    <col min="6902" max="6902" width="13.85546875" bestFit="1" customWidth="1"/>
    <col min="6903" max="6903" width="13.42578125" customWidth="1"/>
    <col min="6904" max="6904" width="7.85546875" bestFit="1" customWidth="1"/>
    <col min="6905" max="6905" width="13.28515625" customWidth="1"/>
    <col min="6906" max="6906" width="7.7109375" bestFit="1" customWidth="1"/>
    <col min="6907" max="6907" width="14.7109375" customWidth="1"/>
    <col min="6908" max="6908" width="7.85546875" bestFit="1" customWidth="1"/>
    <col min="7157" max="7157" width="37.42578125" bestFit="1" customWidth="1"/>
    <col min="7158" max="7158" width="13.85546875" bestFit="1" customWidth="1"/>
    <col min="7159" max="7159" width="13.42578125" customWidth="1"/>
    <col min="7160" max="7160" width="7.85546875" bestFit="1" customWidth="1"/>
    <col min="7161" max="7161" width="13.28515625" customWidth="1"/>
    <col min="7162" max="7162" width="7.7109375" bestFit="1" customWidth="1"/>
    <col min="7163" max="7163" width="14.7109375" customWidth="1"/>
    <col min="7164" max="7164" width="7.85546875" bestFit="1" customWidth="1"/>
    <col min="7413" max="7413" width="37.42578125" bestFit="1" customWidth="1"/>
    <col min="7414" max="7414" width="13.85546875" bestFit="1" customWidth="1"/>
    <col min="7415" max="7415" width="13.42578125" customWidth="1"/>
    <col min="7416" max="7416" width="7.85546875" bestFit="1" customWidth="1"/>
    <col min="7417" max="7417" width="13.28515625" customWidth="1"/>
    <col min="7418" max="7418" width="7.7109375" bestFit="1" customWidth="1"/>
    <col min="7419" max="7419" width="14.7109375" customWidth="1"/>
    <col min="7420" max="7420" width="7.85546875" bestFit="1" customWidth="1"/>
    <col min="7669" max="7669" width="37.42578125" bestFit="1" customWidth="1"/>
    <col min="7670" max="7670" width="13.85546875" bestFit="1" customWidth="1"/>
    <col min="7671" max="7671" width="13.42578125" customWidth="1"/>
    <col min="7672" max="7672" width="7.85546875" bestFit="1" customWidth="1"/>
    <col min="7673" max="7673" width="13.28515625" customWidth="1"/>
    <col min="7674" max="7674" width="7.7109375" bestFit="1" customWidth="1"/>
    <col min="7675" max="7675" width="14.7109375" customWidth="1"/>
    <col min="7676" max="7676" width="7.85546875" bestFit="1" customWidth="1"/>
    <col min="7925" max="7925" width="37.42578125" bestFit="1" customWidth="1"/>
    <col min="7926" max="7926" width="13.85546875" bestFit="1" customWidth="1"/>
    <col min="7927" max="7927" width="13.42578125" customWidth="1"/>
    <col min="7928" max="7928" width="7.85546875" bestFit="1" customWidth="1"/>
    <col min="7929" max="7929" width="13.28515625" customWidth="1"/>
    <col min="7930" max="7930" width="7.7109375" bestFit="1" customWidth="1"/>
    <col min="7931" max="7931" width="14.7109375" customWidth="1"/>
    <col min="7932" max="7932" width="7.85546875" bestFit="1" customWidth="1"/>
    <col min="8181" max="8181" width="37.42578125" bestFit="1" customWidth="1"/>
    <col min="8182" max="8182" width="13.85546875" bestFit="1" customWidth="1"/>
    <col min="8183" max="8183" width="13.42578125" customWidth="1"/>
    <col min="8184" max="8184" width="7.85546875" bestFit="1" customWidth="1"/>
    <col min="8185" max="8185" width="13.28515625" customWidth="1"/>
    <col min="8186" max="8186" width="7.7109375" bestFit="1" customWidth="1"/>
    <col min="8187" max="8187" width="14.7109375" customWidth="1"/>
    <col min="8188" max="8188" width="7.85546875" bestFit="1" customWidth="1"/>
    <col min="8437" max="8437" width="37.42578125" bestFit="1" customWidth="1"/>
    <col min="8438" max="8438" width="13.85546875" bestFit="1" customWidth="1"/>
    <col min="8439" max="8439" width="13.42578125" customWidth="1"/>
    <col min="8440" max="8440" width="7.85546875" bestFit="1" customWidth="1"/>
    <col min="8441" max="8441" width="13.28515625" customWidth="1"/>
    <col min="8442" max="8442" width="7.7109375" bestFit="1" customWidth="1"/>
    <col min="8443" max="8443" width="14.7109375" customWidth="1"/>
    <col min="8444" max="8444" width="7.85546875" bestFit="1" customWidth="1"/>
    <col min="8693" max="8693" width="37.42578125" bestFit="1" customWidth="1"/>
    <col min="8694" max="8694" width="13.85546875" bestFit="1" customWidth="1"/>
    <col min="8695" max="8695" width="13.42578125" customWidth="1"/>
    <col min="8696" max="8696" width="7.85546875" bestFit="1" customWidth="1"/>
    <col min="8697" max="8697" width="13.28515625" customWidth="1"/>
    <col min="8698" max="8698" width="7.7109375" bestFit="1" customWidth="1"/>
    <col min="8699" max="8699" width="14.7109375" customWidth="1"/>
    <col min="8700" max="8700" width="7.85546875" bestFit="1" customWidth="1"/>
    <col min="8949" max="8949" width="37.42578125" bestFit="1" customWidth="1"/>
    <col min="8950" max="8950" width="13.85546875" bestFit="1" customWidth="1"/>
    <col min="8951" max="8951" width="13.42578125" customWidth="1"/>
    <col min="8952" max="8952" width="7.85546875" bestFit="1" customWidth="1"/>
    <col min="8953" max="8953" width="13.28515625" customWidth="1"/>
    <col min="8954" max="8954" width="7.7109375" bestFit="1" customWidth="1"/>
    <col min="8955" max="8955" width="14.7109375" customWidth="1"/>
    <col min="8956" max="8956" width="7.85546875" bestFit="1" customWidth="1"/>
    <col min="9205" max="9205" width="37.42578125" bestFit="1" customWidth="1"/>
    <col min="9206" max="9206" width="13.85546875" bestFit="1" customWidth="1"/>
    <col min="9207" max="9207" width="13.42578125" customWidth="1"/>
    <col min="9208" max="9208" width="7.85546875" bestFit="1" customWidth="1"/>
    <col min="9209" max="9209" width="13.28515625" customWidth="1"/>
    <col min="9210" max="9210" width="7.7109375" bestFit="1" customWidth="1"/>
    <col min="9211" max="9211" width="14.7109375" customWidth="1"/>
    <col min="9212" max="9212" width="7.85546875" bestFit="1" customWidth="1"/>
    <col min="9461" max="9461" width="37.42578125" bestFit="1" customWidth="1"/>
    <col min="9462" max="9462" width="13.85546875" bestFit="1" customWidth="1"/>
    <col min="9463" max="9463" width="13.42578125" customWidth="1"/>
    <col min="9464" max="9464" width="7.85546875" bestFit="1" customWidth="1"/>
    <col min="9465" max="9465" width="13.28515625" customWidth="1"/>
    <col min="9466" max="9466" width="7.7109375" bestFit="1" customWidth="1"/>
    <col min="9467" max="9467" width="14.7109375" customWidth="1"/>
    <col min="9468" max="9468" width="7.85546875" bestFit="1" customWidth="1"/>
    <col min="9717" max="9717" width="37.42578125" bestFit="1" customWidth="1"/>
    <col min="9718" max="9718" width="13.85546875" bestFit="1" customWidth="1"/>
    <col min="9719" max="9719" width="13.42578125" customWidth="1"/>
    <col min="9720" max="9720" width="7.85546875" bestFit="1" customWidth="1"/>
    <col min="9721" max="9721" width="13.28515625" customWidth="1"/>
    <col min="9722" max="9722" width="7.7109375" bestFit="1" customWidth="1"/>
    <col min="9723" max="9723" width="14.7109375" customWidth="1"/>
    <col min="9724" max="9724" width="7.85546875" bestFit="1" customWidth="1"/>
    <col min="9973" max="9973" width="37.42578125" bestFit="1" customWidth="1"/>
    <col min="9974" max="9974" width="13.85546875" bestFit="1" customWidth="1"/>
    <col min="9975" max="9975" width="13.42578125" customWidth="1"/>
    <col min="9976" max="9976" width="7.85546875" bestFit="1" customWidth="1"/>
    <col min="9977" max="9977" width="13.28515625" customWidth="1"/>
    <col min="9978" max="9978" width="7.7109375" bestFit="1" customWidth="1"/>
    <col min="9979" max="9979" width="14.7109375" customWidth="1"/>
    <col min="9980" max="9980" width="7.85546875" bestFit="1" customWidth="1"/>
    <col min="10229" max="10229" width="37.42578125" bestFit="1" customWidth="1"/>
    <col min="10230" max="10230" width="13.85546875" bestFit="1" customWidth="1"/>
    <col min="10231" max="10231" width="13.42578125" customWidth="1"/>
    <col min="10232" max="10232" width="7.85546875" bestFit="1" customWidth="1"/>
    <col min="10233" max="10233" width="13.28515625" customWidth="1"/>
    <col min="10234" max="10234" width="7.7109375" bestFit="1" customWidth="1"/>
    <col min="10235" max="10235" width="14.7109375" customWidth="1"/>
    <col min="10236" max="10236" width="7.85546875" bestFit="1" customWidth="1"/>
    <col min="10485" max="10485" width="37.42578125" bestFit="1" customWidth="1"/>
    <col min="10486" max="10486" width="13.85546875" bestFit="1" customWidth="1"/>
    <col min="10487" max="10487" width="13.42578125" customWidth="1"/>
    <col min="10488" max="10488" width="7.85546875" bestFit="1" customWidth="1"/>
    <col min="10489" max="10489" width="13.28515625" customWidth="1"/>
    <col min="10490" max="10490" width="7.7109375" bestFit="1" customWidth="1"/>
    <col min="10491" max="10491" width="14.7109375" customWidth="1"/>
    <col min="10492" max="10492" width="7.85546875" bestFit="1" customWidth="1"/>
    <col min="10741" max="10741" width="37.42578125" bestFit="1" customWidth="1"/>
    <col min="10742" max="10742" width="13.85546875" bestFit="1" customWidth="1"/>
    <col min="10743" max="10743" width="13.42578125" customWidth="1"/>
    <col min="10744" max="10744" width="7.85546875" bestFit="1" customWidth="1"/>
    <col min="10745" max="10745" width="13.28515625" customWidth="1"/>
    <col min="10746" max="10746" width="7.7109375" bestFit="1" customWidth="1"/>
    <col min="10747" max="10747" width="14.7109375" customWidth="1"/>
    <col min="10748" max="10748" width="7.85546875" bestFit="1" customWidth="1"/>
    <col min="10997" max="10997" width="37.42578125" bestFit="1" customWidth="1"/>
    <col min="10998" max="10998" width="13.85546875" bestFit="1" customWidth="1"/>
    <col min="10999" max="10999" width="13.42578125" customWidth="1"/>
    <col min="11000" max="11000" width="7.85546875" bestFit="1" customWidth="1"/>
    <col min="11001" max="11001" width="13.28515625" customWidth="1"/>
    <col min="11002" max="11002" width="7.7109375" bestFit="1" customWidth="1"/>
    <col min="11003" max="11003" width="14.7109375" customWidth="1"/>
    <col min="11004" max="11004" width="7.85546875" bestFit="1" customWidth="1"/>
    <col min="11253" max="11253" width="37.42578125" bestFit="1" customWidth="1"/>
    <col min="11254" max="11254" width="13.85546875" bestFit="1" customWidth="1"/>
    <col min="11255" max="11255" width="13.42578125" customWidth="1"/>
    <col min="11256" max="11256" width="7.85546875" bestFit="1" customWidth="1"/>
    <col min="11257" max="11257" width="13.28515625" customWidth="1"/>
    <col min="11258" max="11258" width="7.7109375" bestFit="1" customWidth="1"/>
    <col min="11259" max="11259" width="14.7109375" customWidth="1"/>
    <col min="11260" max="11260" width="7.85546875" bestFit="1" customWidth="1"/>
    <col min="11509" max="11509" width="37.42578125" bestFit="1" customWidth="1"/>
    <col min="11510" max="11510" width="13.85546875" bestFit="1" customWidth="1"/>
    <col min="11511" max="11511" width="13.42578125" customWidth="1"/>
    <col min="11512" max="11512" width="7.85546875" bestFit="1" customWidth="1"/>
    <col min="11513" max="11513" width="13.28515625" customWidth="1"/>
    <col min="11514" max="11514" width="7.7109375" bestFit="1" customWidth="1"/>
    <col min="11515" max="11515" width="14.7109375" customWidth="1"/>
    <col min="11516" max="11516" width="7.85546875" bestFit="1" customWidth="1"/>
    <col min="11765" max="11765" width="37.42578125" bestFit="1" customWidth="1"/>
    <col min="11766" max="11766" width="13.85546875" bestFit="1" customWidth="1"/>
    <col min="11767" max="11767" width="13.42578125" customWidth="1"/>
    <col min="11768" max="11768" width="7.85546875" bestFit="1" customWidth="1"/>
    <col min="11769" max="11769" width="13.28515625" customWidth="1"/>
    <col min="11770" max="11770" width="7.7109375" bestFit="1" customWidth="1"/>
    <col min="11771" max="11771" width="14.7109375" customWidth="1"/>
    <col min="11772" max="11772" width="7.85546875" bestFit="1" customWidth="1"/>
    <col min="12021" max="12021" width="37.42578125" bestFit="1" customWidth="1"/>
    <col min="12022" max="12022" width="13.85546875" bestFit="1" customWidth="1"/>
    <col min="12023" max="12023" width="13.42578125" customWidth="1"/>
    <col min="12024" max="12024" width="7.85546875" bestFit="1" customWidth="1"/>
    <col min="12025" max="12025" width="13.28515625" customWidth="1"/>
    <col min="12026" max="12026" width="7.7109375" bestFit="1" customWidth="1"/>
    <col min="12027" max="12027" width="14.7109375" customWidth="1"/>
    <col min="12028" max="12028" width="7.85546875" bestFit="1" customWidth="1"/>
    <col min="12277" max="12277" width="37.42578125" bestFit="1" customWidth="1"/>
    <col min="12278" max="12278" width="13.85546875" bestFit="1" customWidth="1"/>
    <col min="12279" max="12279" width="13.42578125" customWidth="1"/>
    <col min="12280" max="12280" width="7.85546875" bestFit="1" customWidth="1"/>
    <col min="12281" max="12281" width="13.28515625" customWidth="1"/>
    <col min="12282" max="12282" width="7.7109375" bestFit="1" customWidth="1"/>
    <col min="12283" max="12283" width="14.7109375" customWidth="1"/>
    <col min="12284" max="12284" width="7.85546875" bestFit="1" customWidth="1"/>
    <col min="12533" max="12533" width="37.42578125" bestFit="1" customWidth="1"/>
    <col min="12534" max="12534" width="13.85546875" bestFit="1" customWidth="1"/>
    <col min="12535" max="12535" width="13.42578125" customWidth="1"/>
    <col min="12536" max="12536" width="7.85546875" bestFit="1" customWidth="1"/>
    <col min="12537" max="12537" width="13.28515625" customWidth="1"/>
    <col min="12538" max="12538" width="7.7109375" bestFit="1" customWidth="1"/>
    <col min="12539" max="12539" width="14.7109375" customWidth="1"/>
    <col min="12540" max="12540" width="7.85546875" bestFit="1" customWidth="1"/>
    <col min="12789" max="12789" width="37.42578125" bestFit="1" customWidth="1"/>
    <col min="12790" max="12790" width="13.85546875" bestFit="1" customWidth="1"/>
    <col min="12791" max="12791" width="13.42578125" customWidth="1"/>
    <col min="12792" max="12792" width="7.85546875" bestFit="1" customWidth="1"/>
    <col min="12793" max="12793" width="13.28515625" customWidth="1"/>
    <col min="12794" max="12794" width="7.7109375" bestFit="1" customWidth="1"/>
    <col min="12795" max="12795" width="14.7109375" customWidth="1"/>
    <col min="12796" max="12796" width="7.85546875" bestFit="1" customWidth="1"/>
    <col min="13045" max="13045" width="37.42578125" bestFit="1" customWidth="1"/>
    <col min="13046" max="13046" width="13.85546875" bestFit="1" customWidth="1"/>
    <col min="13047" max="13047" width="13.42578125" customWidth="1"/>
    <col min="13048" max="13048" width="7.85546875" bestFit="1" customWidth="1"/>
    <col min="13049" max="13049" width="13.28515625" customWidth="1"/>
    <col min="13050" max="13050" width="7.7109375" bestFit="1" customWidth="1"/>
    <col min="13051" max="13051" width="14.7109375" customWidth="1"/>
    <col min="13052" max="13052" width="7.85546875" bestFit="1" customWidth="1"/>
    <col min="13301" max="13301" width="37.42578125" bestFit="1" customWidth="1"/>
    <col min="13302" max="13302" width="13.85546875" bestFit="1" customWidth="1"/>
    <col min="13303" max="13303" width="13.42578125" customWidth="1"/>
    <col min="13304" max="13304" width="7.85546875" bestFit="1" customWidth="1"/>
    <col min="13305" max="13305" width="13.28515625" customWidth="1"/>
    <col min="13306" max="13306" width="7.7109375" bestFit="1" customWidth="1"/>
    <col min="13307" max="13307" width="14.7109375" customWidth="1"/>
    <col min="13308" max="13308" width="7.85546875" bestFit="1" customWidth="1"/>
    <col min="13557" max="13557" width="37.42578125" bestFit="1" customWidth="1"/>
    <col min="13558" max="13558" width="13.85546875" bestFit="1" customWidth="1"/>
    <col min="13559" max="13559" width="13.42578125" customWidth="1"/>
    <col min="13560" max="13560" width="7.85546875" bestFit="1" customWidth="1"/>
    <col min="13561" max="13561" width="13.28515625" customWidth="1"/>
    <col min="13562" max="13562" width="7.7109375" bestFit="1" customWidth="1"/>
    <col min="13563" max="13563" width="14.7109375" customWidth="1"/>
    <col min="13564" max="13564" width="7.85546875" bestFit="1" customWidth="1"/>
    <col min="13813" max="13813" width="37.42578125" bestFit="1" customWidth="1"/>
    <col min="13814" max="13814" width="13.85546875" bestFit="1" customWidth="1"/>
    <col min="13815" max="13815" width="13.42578125" customWidth="1"/>
    <col min="13816" max="13816" width="7.85546875" bestFit="1" customWidth="1"/>
    <col min="13817" max="13817" width="13.28515625" customWidth="1"/>
    <col min="13818" max="13818" width="7.7109375" bestFit="1" customWidth="1"/>
    <col min="13819" max="13819" width="14.7109375" customWidth="1"/>
    <col min="13820" max="13820" width="7.85546875" bestFit="1" customWidth="1"/>
    <col min="14069" max="14069" width="37.42578125" bestFit="1" customWidth="1"/>
    <col min="14070" max="14070" width="13.85546875" bestFit="1" customWidth="1"/>
    <col min="14071" max="14071" width="13.42578125" customWidth="1"/>
    <col min="14072" max="14072" width="7.85546875" bestFit="1" customWidth="1"/>
    <col min="14073" max="14073" width="13.28515625" customWidth="1"/>
    <col min="14074" max="14074" width="7.7109375" bestFit="1" customWidth="1"/>
    <col min="14075" max="14075" width="14.7109375" customWidth="1"/>
    <col min="14076" max="14076" width="7.85546875" bestFit="1" customWidth="1"/>
    <col min="14325" max="14325" width="37.42578125" bestFit="1" customWidth="1"/>
    <col min="14326" max="14326" width="13.85546875" bestFit="1" customWidth="1"/>
    <col min="14327" max="14327" width="13.42578125" customWidth="1"/>
    <col min="14328" max="14328" width="7.85546875" bestFit="1" customWidth="1"/>
    <col min="14329" max="14329" width="13.28515625" customWidth="1"/>
    <col min="14330" max="14330" width="7.7109375" bestFit="1" customWidth="1"/>
    <col min="14331" max="14331" width="14.7109375" customWidth="1"/>
    <col min="14332" max="14332" width="7.85546875" bestFit="1" customWidth="1"/>
    <col min="14581" max="14581" width="37.42578125" bestFit="1" customWidth="1"/>
    <col min="14582" max="14582" width="13.85546875" bestFit="1" customWidth="1"/>
    <col min="14583" max="14583" width="13.42578125" customWidth="1"/>
    <col min="14584" max="14584" width="7.85546875" bestFit="1" customWidth="1"/>
    <col min="14585" max="14585" width="13.28515625" customWidth="1"/>
    <col min="14586" max="14586" width="7.7109375" bestFit="1" customWidth="1"/>
    <col min="14587" max="14587" width="14.7109375" customWidth="1"/>
    <col min="14588" max="14588" width="7.85546875" bestFit="1" customWidth="1"/>
    <col min="14837" max="14837" width="37.42578125" bestFit="1" customWidth="1"/>
    <col min="14838" max="14838" width="13.85546875" bestFit="1" customWidth="1"/>
    <col min="14839" max="14839" width="13.42578125" customWidth="1"/>
    <col min="14840" max="14840" width="7.85546875" bestFit="1" customWidth="1"/>
    <col min="14841" max="14841" width="13.28515625" customWidth="1"/>
    <col min="14842" max="14842" width="7.7109375" bestFit="1" customWidth="1"/>
    <col min="14843" max="14843" width="14.7109375" customWidth="1"/>
    <col min="14844" max="14844" width="7.85546875" bestFit="1" customWidth="1"/>
    <col min="15093" max="15093" width="37.42578125" bestFit="1" customWidth="1"/>
    <col min="15094" max="15094" width="13.85546875" bestFit="1" customWidth="1"/>
    <col min="15095" max="15095" width="13.42578125" customWidth="1"/>
    <col min="15096" max="15096" width="7.85546875" bestFit="1" customWidth="1"/>
    <col min="15097" max="15097" width="13.28515625" customWidth="1"/>
    <col min="15098" max="15098" width="7.7109375" bestFit="1" customWidth="1"/>
    <col min="15099" max="15099" width="14.7109375" customWidth="1"/>
    <col min="15100" max="15100" width="7.85546875" bestFit="1" customWidth="1"/>
    <col min="15349" max="15349" width="37.42578125" bestFit="1" customWidth="1"/>
    <col min="15350" max="15350" width="13.85546875" bestFit="1" customWidth="1"/>
    <col min="15351" max="15351" width="13.42578125" customWidth="1"/>
    <col min="15352" max="15352" width="7.85546875" bestFit="1" customWidth="1"/>
    <col min="15353" max="15353" width="13.28515625" customWidth="1"/>
    <col min="15354" max="15354" width="7.7109375" bestFit="1" customWidth="1"/>
    <col min="15355" max="15355" width="14.7109375" customWidth="1"/>
    <col min="15356" max="15356" width="7.85546875" bestFit="1" customWidth="1"/>
    <col min="15605" max="15605" width="37.42578125" bestFit="1" customWidth="1"/>
    <col min="15606" max="15606" width="13.85546875" bestFit="1" customWidth="1"/>
    <col min="15607" max="15607" width="13.42578125" customWidth="1"/>
    <col min="15608" max="15608" width="7.85546875" bestFit="1" customWidth="1"/>
    <col min="15609" max="15609" width="13.28515625" customWidth="1"/>
    <col min="15610" max="15610" width="7.7109375" bestFit="1" customWidth="1"/>
    <col min="15611" max="15611" width="14.7109375" customWidth="1"/>
    <col min="15612" max="15612" width="7.85546875" bestFit="1" customWidth="1"/>
    <col min="15861" max="15861" width="37.42578125" bestFit="1" customWidth="1"/>
    <col min="15862" max="15862" width="13.85546875" bestFit="1" customWidth="1"/>
    <col min="15863" max="15863" width="13.42578125" customWidth="1"/>
    <col min="15864" max="15864" width="7.85546875" bestFit="1" customWidth="1"/>
    <col min="15865" max="15865" width="13.28515625" customWidth="1"/>
    <col min="15866" max="15866" width="7.7109375" bestFit="1" customWidth="1"/>
    <col min="15867" max="15867" width="14.7109375" customWidth="1"/>
    <col min="15868" max="15868" width="7.85546875" bestFit="1" customWidth="1"/>
    <col min="16117" max="16117" width="37.42578125" bestFit="1" customWidth="1"/>
    <col min="16118" max="16118" width="13.85546875" bestFit="1" customWidth="1"/>
    <col min="16119" max="16119" width="13.42578125" customWidth="1"/>
    <col min="16120" max="16120" width="7.85546875" bestFit="1" customWidth="1"/>
    <col min="16121" max="16121" width="13.28515625" customWidth="1"/>
    <col min="16122" max="16122" width="7.7109375" bestFit="1" customWidth="1"/>
    <col min="16123" max="16123" width="14.7109375" customWidth="1"/>
    <col min="16124" max="16124" width="7.85546875" bestFit="1" customWidth="1"/>
  </cols>
  <sheetData>
    <row r="3" spans="1:24" ht="15.75" thickBot="1" x14ac:dyDescent="0.3"/>
    <row r="4" spans="1:24" ht="26.25" customHeight="1" x14ac:dyDescent="0.25">
      <c r="B4" s="471" t="s">
        <v>0</v>
      </c>
      <c r="C4" s="492" t="s">
        <v>82</v>
      </c>
      <c r="D4" s="494" t="s">
        <v>325</v>
      </c>
      <c r="E4" s="496" t="s">
        <v>1</v>
      </c>
      <c r="F4" s="498" t="s">
        <v>327</v>
      </c>
      <c r="G4" s="494"/>
      <c r="H4" s="501" t="s">
        <v>326</v>
      </c>
      <c r="I4" s="502"/>
      <c r="J4" s="505" t="s">
        <v>333</v>
      </c>
      <c r="K4" s="502"/>
      <c r="L4"/>
      <c r="M4"/>
      <c r="N4"/>
      <c r="O4"/>
    </row>
    <row r="5" spans="1:24" ht="46.9" customHeight="1" x14ac:dyDescent="0.25">
      <c r="B5" s="472"/>
      <c r="C5" s="493"/>
      <c r="D5" s="495"/>
      <c r="E5" s="497"/>
      <c r="F5" s="499"/>
      <c r="G5" s="500"/>
      <c r="H5" s="503"/>
      <c r="I5" s="504"/>
      <c r="J5" s="506"/>
      <c r="K5" s="504"/>
      <c r="L5"/>
      <c r="M5" s="507"/>
      <c r="N5" s="508"/>
      <c r="O5" s="508"/>
      <c r="P5" s="508"/>
      <c r="Q5" s="508"/>
      <c r="R5" s="509"/>
      <c r="S5" s="343" t="s">
        <v>351</v>
      </c>
      <c r="T5" s="344"/>
      <c r="U5" s="345"/>
      <c r="V5" s="345"/>
    </row>
    <row r="6" spans="1:24" ht="14.45" customHeight="1" thickBot="1" x14ac:dyDescent="0.3">
      <c r="B6" s="116" t="s">
        <v>2</v>
      </c>
      <c r="C6" s="206"/>
      <c r="D6" s="223"/>
      <c r="E6" s="2"/>
      <c r="F6" s="2"/>
      <c r="G6" s="2"/>
      <c r="H6" s="223"/>
      <c r="I6" s="149"/>
      <c r="J6" s="242"/>
      <c r="K6" s="243"/>
      <c r="L6"/>
      <c r="M6" s="266">
        <v>2014</v>
      </c>
      <c r="N6" s="339"/>
      <c r="O6" s="273">
        <v>2015</v>
      </c>
      <c r="P6" s="340"/>
      <c r="Q6" s="275">
        <v>2016</v>
      </c>
      <c r="R6" s="275"/>
      <c r="S6" s="341">
        <v>2014</v>
      </c>
      <c r="T6" s="341">
        <v>2015</v>
      </c>
      <c r="U6" s="342">
        <v>2016</v>
      </c>
      <c r="V6" s="342"/>
    </row>
    <row r="7" spans="1:24" ht="17.25" thickBot="1" x14ac:dyDescent="0.3">
      <c r="B7" s="116" t="s">
        <v>3</v>
      </c>
      <c r="C7" s="41">
        <v>26400</v>
      </c>
      <c r="D7" s="41">
        <v>28000</v>
      </c>
      <c r="E7" s="53">
        <f>D7/D11</f>
        <v>0.64265877114462122</v>
      </c>
      <c r="F7" s="4">
        <v>29148</v>
      </c>
      <c r="G7" s="53">
        <f>F7/D7</f>
        <v>1.0409999999999999</v>
      </c>
      <c r="H7" s="41">
        <v>31500</v>
      </c>
      <c r="I7" s="118">
        <f>+H7/F7</f>
        <v>1.0806916426512969</v>
      </c>
      <c r="J7" s="244">
        <v>28000</v>
      </c>
      <c r="K7" s="118">
        <v>1.0566037735849056</v>
      </c>
      <c r="L7"/>
      <c r="M7" s="227" t="s">
        <v>301</v>
      </c>
      <c r="N7" s="228">
        <v>2014</v>
      </c>
      <c r="O7" s="227" t="s">
        <v>324</v>
      </c>
      <c r="P7" s="228" t="s">
        <v>302</v>
      </c>
      <c r="Q7" s="229" t="s">
        <v>301</v>
      </c>
      <c r="R7" s="229">
        <v>2016</v>
      </c>
      <c r="S7" s="234"/>
      <c r="T7" s="234"/>
      <c r="U7" s="235"/>
      <c r="V7" s="235" t="s">
        <v>331</v>
      </c>
    </row>
    <row r="8" spans="1:24" ht="20.45" customHeight="1" x14ac:dyDescent="0.25">
      <c r="B8" s="116" t="s">
        <v>4</v>
      </c>
      <c r="C8" s="41">
        <v>1321</v>
      </c>
      <c r="D8" s="41">
        <v>1509</v>
      </c>
      <c r="E8" s="53">
        <f>D8/D11</f>
        <v>3.4634717344901193E-2</v>
      </c>
      <c r="F8" s="4">
        <v>1975</v>
      </c>
      <c r="G8" s="53">
        <f>F8/D8</f>
        <v>1.3088137839628893</v>
      </c>
      <c r="H8" s="41">
        <f>+Intereses!N10</f>
        <v>2133.4914849704746</v>
      </c>
      <c r="I8" s="118">
        <f>+H8/F8</f>
        <v>1.0802488531496075</v>
      </c>
      <c r="J8" s="244">
        <v>1514.5723666059914</v>
      </c>
      <c r="K8" s="118">
        <v>0.89513733250945116</v>
      </c>
      <c r="L8"/>
      <c r="M8" s="225" t="s">
        <v>303</v>
      </c>
      <c r="N8" s="230">
        <v>276155</v>
      </c>
      <c r="O8" s="231" t="s">
        <v>303</v>
      </c>
      <c r="P8" s="230">
        <v>261560</v>
      </c>
      <c r="Q8" s="232" t="s">
        <v>303</v>
      </c>
      <c r="R8" s="232">
        <v>256960</v>
      </c>
      <c r="S8" s="238">
        <f>ROUND(N8/1000,0)</f>
        <v>276</v>
      </c>
      <c r="T8" s="238">
        <f>ROUND(P8/1000,0)</f>
        <v>262</v>
      </c>
      <c r="U8" s="239">
        <f>ROUND(R8/1000,1)</f>
        <v>257</v>
      </c>
      <c r="V8" s="261">
        <v>207</v>
      </c>
    </row>
    <row r="9" spans="1:24" ht="16.5" x14ac:dyDescent="0.25">
      <c r="B9" s="119" t="s">
        <v>5</v>
      </c>
      <c r="C9" s="30">
        <f>+C7+C8</f>
        <v>27721</v>
      </c>
      <c r="D9" s="43">
        <f>SUM(D7:D8)</f>
        <v>29509</v>
      </c>
      <c r="E9" s="151">
        <f>D9/D11</f>
        <v>0.67729348848952242</v>
      </c>
      <c r="F9" s="30">
        <f>+F7+F8</f>
        <v>31123</v>
      </c>
      <c r="G9" s="71">
        <f>F9/D9</f>
        <v>1.0546951777423836</v>
      </c>
      <c r="H9" s="43">
        <f>SUM(H7:H8)</f>
        <v>33633.491484970473</v>
      </c>
      <c r="I9" s="120">
        <f>+H9/F9</f>
        <v>1.0806635441625316</v>
      </c>
      <c r="J9" s="245">
        <v>29514.572366605993</v>
      </c>
      <c r="K9" s="120">
        <v>1.0469130379755247</v>
      </c>
      <c r="L9"/>
      <c r="M9" s="225" t="s">
        <v>304</v>
      </c>
      <c r="N9" s="230">
        <v>311500</v>
      </c>
      <c r="O9" s="231" t="s">
        <v>304</v>
      </c>
      <c r="P9" s="230">
        <v>395620</v>
      </c>
      <c r="Q9" s="232" t="s">
        <v>304</v>
      </c>
      <c r="R9" s="232">
        <v>361600</v>
      </c>
      <c r="S9" s="238">
        <f t="shared" ref="S9:S28" si="0">ROUND(N9/1000,0)</f>
        <v>312</v>
      </c>
      <c r="T9" s="238">
        <f t="shared" ref="T9:T28" si="1">ROUND(P9/1000,0)</f>
        <v>396</v>
      </c>
      <c r="U9" s="239">
        <f t="shared" ref="U9:U31" si="2">ROUND(R9/1000,1)</f>
        <v>361.6</v>
      </c>
      <c r="V9" s="261">
        <v>230</v>
      </c>
    </row>
    <row r="10" spans="1:24" ht="23.45" customHeight="1" x14ac:dyDescent="0.25">
      <c r="B10" s="121" t="s">
        <v>6</v>
      </c>
      <c r="C10" s="42">
        <v>8480</v>
      </c>
      <c r="D10" s="42">
        <f>+D13-D9</f>
        <v>14060</v>
      </c>
      <c r="E10" s="61">
        <f>D10/D11</f>
        <v>0.32270651151047763</v>
      </c>
      <c r="F10" s="42">
        <f>+F13-F9</f>
        <v>6343</v>
      </c>
      <c r="G10" s="61">
        <f>F10/D10</f>
        <v>0.4511379800853485</v>
      </c>
      <c r="H10" s="42">
        <f>+H13-H9</f>
        <v>15017.608515029526</v>
      </c>
      <c r="I10" s="122">
        <f>+H10/F10</f>
        <v>2.3675876580528969</v>
      </c>
      <c r="J10" s="246">
        <v>13925.427633394007</v>
      </c>
      <c r="K10" s="122">
        <v>5.0582737498706889</v>
      </c>
      <c r="L10"/>
      <c r="M10" s="225" t="s">
        <v>250</v>
      </c>
      <c r="N10" s="230">
        <v>75720</v>
      </c>
      <c r="O10" s="231" t="s">
        <v>250</v>
      </c>
      <c r="P10" s="230">
        <v>109590</v>
      </c>
      <c r="Q10" s="232" t="s">
        <v>250</v>
      </c>
      <c r="R10" s="232">
        <v>83515</v>
      </c>
      <c r="S10" s="238">
        <f t="shared" si="0"/>
        <v>76</v>
      </c>
      <c r="T10" s="238">
        <f t="shared" si="1"/>
        <v>110</v>
      </c>
      <c r="U10" s="239">
        <f t="shared" si="2"/>
        <v>83.5</v>
      </c>
      <c r="V10" s="261">
        <v>32</v>
      </c>
    </row>
    <row r="11" spans="1:24" ht="19.899999999999999" customHeight="1" x14ac:dyDescent="0.25">
      <c r="B11" s="123" t="s">
        <v>7</v>
      </c>
      <c r="C11" s="33">
        <f>+C9+C10</f>
        <v>36201</v>
      </c>
      <c r="D11" s="44">
        <f>SUM(D9:D10)</f>
        <v>43569</v>
      </c>
      <c r="E11" s="152">
        <f>D11/D11</f>
        <v>1</v>
      </c>
      <c r="F11" s="33">
        <f>+F10+F9</f>
        <v>37466</v>
      </c>
      <c r="G11" s="34">
        <f>F11/D11</f>
        <v>0.85992333998944204</v>
      </c>
      <c r="H11" s="44">
        <f>SUM(H9:H10)</f>
        <v>48651.1</v>
      </c>
      <c r="I11" s="248">
        <f>+H11/F11</f>
        <v>1.2985400096087119</v>
      </c>
      <c r="J11" s="247">
        <v>43440</v>
      </c>
      <c r="K11" s="248">
        <v>1.4037809015996121</v>
      </c>
      <c r="L11"/>
      <c r="M11" s="225" t="s">
        <v>305</v>
      </c>
      <c r="N11" s="230">
        <v>1430505</v>
      </c>
      <c r="O11" s="231" t="s">
        <v>305</v>
      </c>
      <c r="P11" s="230">
        <f>3845895-840000</f>
        <v>3005895</v>
      </c>
      <c r="Q11" s="232" t="s">
        <v>305</v>
      </c>
      <c r="R11" s="232">
        <v>3343089</v>
      </c>
      <c r="S11" s="238">
        <f t="shared" si="0"/>
        <v>1431</v>
      </c>
      <c r="T11" s="238">
        <f t="shared" si="1"/>
        <v>3006</v>
      </c>
      <c r="U11" s="239">
        <f t="shared" si="2"/>
        <v>3343.1</v>
      </c>
      <c r="V11" s="261">
        <f>2507</f>
        <v>2507</v>
      </c>
    </row>
    <row r="12" spans="1:24" ht="21.6" customHeight="1" x14ac:dyDescent="0.25">
      <c r="B12" s="116" t="s">
        <v>8</v>
      </c>
      <c r="C12" s="208"/>
      <c r="D12" s="208"/>
      <c r="E12" s="209"/>
      <c r="F12" s="208"/>
      <c r="G12" s="206"/>
      <c r="H12" s="208"/>
      <c r="I12" s="210"/>
      <c r="J12" s="249"/>
      <c r="K12" s="210"/>
      <c r="L12"/>
      <c r="M12" s="225" t="s">
        <v>306</v>
      </c>
      <c r="N12" s="230">
        <v>351240</v>
      </c>
      <c r="O12" s="231" t="s">
        <v>306</v>
      </c>
      <c r="P12" s="230">
        <v>403545</v>
      </c>
      <c r="Q12" s="232" t="s">
        <v>306</v>
      </c>
      <c r="R12" s="232">
        <v>296405</v>
      </c>
      <c r="S12" s="238">
        <f t="shared" si="0"/>
        <v>351</v>
      </c>
      <c r="T12" s="238">
        <f t="shared" si="1"/>
        <v>404</v>
      </c>
      <c r="U12" s="241">
        <f>404-47</f>
        <v>357</v>
      </c>
      <c r="V12" s="262">
        <v>352</v>
      </c>
      <c r="X12" s="57"/>
    </row>
    <row r="13" spans="1:24" ht="16.5" x14ac:dyDescent="0.25">
      <c r="B13" s="125" t="s">
        <v>9</v>
      </c>
      <c r="C13" s="33">
        <f>+C19+C24+C27</f>
        <v>34792</v>
      </c>
      <c r="D13" s="33">
        <f>+D19+D24+D27+D28</f>
        <v>43569</v>
      </c>
      <c r="E13" s="152">
        <v>1</v>
      </c>
      <c r="F13" s="33">
        <f>+F19+F24+F26+F28</f>
        <v>37466</v>
      </c>
      <c r="G13" s="34">
        <f>F13/D13</f>
        <v>0.85992333998944204</v>
      </c>
      <c r="H13" s="33">
        <f>+H19+H24+H27+H28</f>
        <v>48651.1</v>
      </c>
      <c r="I13" s="251">
        <f>+H13/F13</f>
        <v>1.2985400096087119</v>
      </c>
      <c r="J13" s="250">
        <v>43440</v>
      </c>
      <c r="K13" s="251">
        <v>1.4037809015996121</v>
      </c>
      <c r="L13"/>
      <c r="M13" s="225" t="s">
        <v>307</v>
      </c>
      <c r="N13" s="230">
        <v>226475</v>
      </c>
      <c r="O13" s="231" t="s">
        <v>307</v>
      </c>
      <c r="P13" s="230">
        <v>261980</v>
      </c>
      <c r="Q13" s="232" t="s">
        <v>307</v>
      </c>
      <c r="R13" s="232">
        <v>203473</v>
      </c>
      <c r="S13" s="238">
        <f t="shared" si="0"/>
        <v>226</v>
      </c>
      <c r="T13" s="238">
        <f t="shared" si="1"/>
        <v>262</v>
      </c>
      <c r="U13" s="241">
        <f>262-30</f>
        <v>232</v>
      </c>
      <c r="V13" s="262">
        <v>229</v>
      </c>
      <c r="X13" s="57"/>
    </row>
    <row r="14" spans="1:24" x14ac:dyDescent="0.25">
      <c r="B14" s="116" t="s">
        <v>329</v>
      </c>
      <c r="C14" s="208"/>
      <c r="D14" s="21"/>
      <c r="E14" s="64"/>
      <c r="F14" s="21"/>
      <c r="G14" s="2"/>
      <c r="H14" s="21"/>
      <c r="I14" s="130"/>
      <c r="J14" s="252"/>
      <c r="K14" s="130"/>
      <c r="L14"/>
      <c r="M14" s="225" t="s">
        <v>308</v>
      </c>
      <c r="N14" s="230">
        <v>213970</v>
      </c>
      <c r="O14" s="231" t="s">
        <v>308</v>
      </c>
      <c r="P14" s="230">
        <v>247445</v>
      </c>
      <c r="Q14" s="232" t="s">
        <v>308</v>
      </c>
      <c r="R14" s="232">
        <v>148051</v>
      </c>
      <c r="S14" s="238">
        <f t="shared" si="0"/>
        <v>214</v>
      </c>
      <c r="T14" s="238">
        <f t="shared" si="1"/>
        <v>247</v>
      </c>
      <c r="U14" s="241">
        <f>247-28</f>
        <v>219</v>
      </c>
      <c r="V14" s="262">
        <v>216</v>
      </c>
      <c r="X14" s="57"/>
    </row>
    <row r="15" spans="1:24" ht="18.75" x14ac:dyDescent="0.3">
      <c r="A15" s="237">
        <v>-1</v>
      </c>
      <c r="B15" s="116" t="s">
        <v>328</v>
      </c>
      <c r="C15" s="6">
        <f>+S21-1</f>
        <v>13570</v>
      </c>
      <c r="D15" s="6">
        <f>+T21</f>
        <v>14675</v>
      </c>
      <c r="E15" s="205">
        <f>+D15/$D$13</f>
        <v>0.33682205237668983</v>
      </c>
      <c r="F15" s="6">
        <f>+V21</f>
        <v>12734</v>
      </c>
      <c r="G15" s="205">
        <f>+F15/D15</f>
        <v>0.86773424190800685</v>
      </c>
      <c r="H15" s="6">
        <f>+U21</f>
        <v>16162</v>
      </c>
      <c r="I15" s="254">
        <f>+H15/F15</f>
        <v>1.2692005654154233</v>
      </c>
      <c r="J15" s="253">
        <v>14675</v>
      </c>
      <c r="K15" s="254">
        <v>1.1846141427187602</v>
      </c>
      <c r="L15"/>
      <c r="M15" s="226" t="s">
        <v>309</v>
      </c>
      <c r="N15" s="230">
        <v>324330</v>
      </c>
      <c r="O15" s="231" t="s">
        <v>309</v>
      </c>
      <c r="P15" s="230">
        <v>375690</v>
      </c>
      <c r="Q15" s="232" t="s">
        <v>309</v>
      </c>
      <c r="R15" s="232">
        <v>480585</v>
      </c>
      <c r="S15" s="238">
        <f t="shared" si="0"/>
        <v>324</v>
      </c>
      <c r="T15" s="238">
        <f t="shared" si="1"/>
        <v>376</v>
      </c>
      <c r="U15" s="241">
        <f>376-43</f>
        <v>333</v>
      </c>
      <c r="V15" s="262">
        <v>329</v>
      </c>
      <c r="X15" s="57"/>
    </row>
    <row r="16" spans="1:24" ht="16.5" x14ac:dyDescent="0.25">
      <c r="B16" s="116" t="s">
        <v>12</v>
      </c>
      <c r="C16" s="6">
        <f>+S22</f>
        <v>11800</v>
      </c>
      <c r="D16" s="6">
        <f>+T22</f>
        <v>12876</v>
      </c>
      <c r="E16" s="205">
        <f t="shared" ref="E16:E18" si="3">+D16/$D$13</f>
        <v>0.29553122633064793</v>
      </c>
      <c r="F16" s="6">
        <f>+V22</f>
        <v>12609</v>
      </c>
      <c r="G16" s="205">
        <f>+F16/D16</f>
        <v>0.97926374650512582</v>
      </c>
      <c r="H16" s="150">
        <f>+U22</f>
        <v>13973.4</v>
      </c>
      <c r="I16" s="254">
        <f>+H16/F16</f>
        <v>1.1082084225553177</v>
      </c>
      <c r="J16" s="255">
        <v>12875</v>
      </c>
      <c r="K16" s="254">
        <v>1.1492457377488172</v>
      </c>
      <c r="L16"/>
      <c r="M16" s="135" t="s">
        <v>310</v>
      </c>
      <c r="N16" s="230">
        <v>247535</v>
      </c>
      <c r="O16" s="231" t="s">
        <v>310</v>
      </c>
      <c r="P16" s="230">
        <v>286455</v>
      </c>
      <c r="Q16" s="232" t="s">
        <v>310</v>
      </c>
      <c r="R16" s="232">
        <v>184999</v>
      </c>
      <c r="S16" s="238">
        <f t="shared" si="0"/>
        <v>248</v>
      </c>
      <c r="T16" s="238">
        <f t="shared" si="1"/>
        <v>286</v>
      </c>
      <c r="U16" s="241">
        <f>286-33</f>
        <v>253</v>
      </c>
      <c r="V16" s="262">
        <v>250</v>
      </c>
      <c r="X16" s="57"/>
    </row>
    <row r="17" spans="1:24" ht="16.5" x14ac:dyDescent="0.25">
      <c r="B17" s="116" t="s">
        <v>42</v>
      </c>
      <c r="C17" s="6">
        <f>+S11</f>
        <v>1431</v>
      </c>
      <c r="D17" s="6">
        <f>+T11</f>
        <v>3006</v>
      </c>
      <c r="E17" s="205">
        <f t="shared" si="3"/>
        <v>6.8994009502168968E-2</v>
      </c>
      <c r="F17" s="6">
        <f>+V11</f>
        <v>2507</v>
      </c>
      <c r="G17" s="205">
        <f>+F17/D17</f>
        <v>0.8339986693280107</v>
      </c>
      <c r="H17" s="6">
        <f>+U11</f>
        <v>3343.1</v>
      </c>
      <c r="I17" s="254">
        <f>+H17/F17</f>
        <v>1.3335061826884722</v>
      </c>
      <c r="J17" s="253">
        <v>2880</v>
      </c>
      <c r="K17" s="254">
        <v>2.1508588498879759</v>
      </c>
      <c r="L17"/>
      <c r="M17" s="135" t="s">
        <v>311</v>
      </c>
      <c r="N17" s="230">
        <v>444115</v>
      </c>
      <c r="O17" s="231" t="s">
        <v>311</v>
      </c>
      <c r="P17" s="230">
        <v>514885</v>
      </c>
      <c r="Q17" s="232" t="s">
        <v>311</v>
      </c>
      <c r="R17" s="232">
        <v>535878</v>
      </c>
      <c r="S17" s="238">
        <f t="shared" si="0"/>
        <v>444</v>
      </c>
      <c r="T17" s="238">
        <f t="shared" si="1"/>
        <v>515</v>
      </c>
      <c r="U17" s="241">
        <f>515-60</f>
        <v>455</v>
      </c>
      <c r="V17" s="262">
        <v>451</v>
      </c>
      <c r="X17" s="57"/>
    </row>
    <row r="18" spans="1:24" ht="16.5" x14ac:dyDescent="0.25">
      <c r="B18" s="116" t="s">
        <v>330</v>
      </c>
      <c r="C18" s="6">
        <f>SUM(S12:S17)</f>
        <v>1807</v>
      </c>
      <c r="D18" s="6">
        <f>SUM(T12:T17)</f>
        <v>2090</v>
      </c>
      <c r="E18" s="205">
        <f t="shared" si="3"/>
        <v>4.7969886846152082E-2</v>
      </c>
      <c r="F18" s="6">
        <f>SUM(V12:V17)</f>
        <v>1827</v>
      </c>
      <c r="G18" s="205">
        <f>F18/D18</f>
        <v>0.87416267942583736</v>
      </c>
      <c r="H18" s="6">
        <f>SUM(U12:U17)</f>
        <v>1849</v>
      </c>
      <c r="I18" s="254">
        <f>+H18/F18</f>
        <v>1.0120415982484947</v>
      </c>
      <c r="J18" s="253">
        <v>2090</v>
      </c>
      <c r="K18" s="254">
        <v>1.1559734513274336</v>
      </c>
      <c r="L18"/>
      <c r="M18" s="135" t="s">
        <v>312</v>
      </c>
      <c r="N18" s="230">
        <v>326855</v>
      </c>
      <c r="O18" s="231" t="s">
        <v>312</v>
      </c>
      <c r="P18" s="230">
        <v>255000</v>
      </c>
      <c r="Q18" s="232" t="s">
        <v>312</v>
      </c>
      <c r="R18" s="232">
        <v>252975</v>
      </c>
      <c r="S18" s="238">
        <f t="shared" si="0"/>
        <v>327</v>
      </c>
      <c r="T18" s="238">
        <f t="shared" si="1"/>
        <v>255</v>
      </c>
      <c r="U18" s="239">
        <f t="shared" si="2"/>
        <v>253</v>
      </c>
      <c r="V18" s="261">
        <v>222</v>
      </c>
    </row>
    <row r="19" spans="1:24" ht="16.5" x14ac:dyDescent="0.25">
      <c r="B19" s="128" t="s">
        <v>13</v>
      </c>
      <c r="C19" s="30">
        <f>+C18+C17+C16+C15</f>
        <v>28608</v>
      </c>
      <c r="D19" s="30">
        <f>+D18+D17+D16+D15</f>
        <v>32647</v>
      </c>
      <c r="E19" s="151">
        <f>D19/D13</f>
        <v>0.74931717505565887</v>
      </c>
      <c r="F19" s="30">
        <f>+F18+F17+F16+F15</f>
        <v>29677</v>
      </c>
      <c r="G19" s="31">
        <f>F19/D19</f>
        <v>0.90902686311146508</v>
      </c>
      <c r="H19" s="30">
        <f>+H18+H17+H16+H15</f>
        <v>35327.5</v>
      </c>
      <c r="I19" s="120">
        <f>+H19/F19</f>
        <v>1.1903999730430974</v>
      </c>
      <c r="J19" s="256">
        <v>32520</v>
      </c>
      <c r="K19" s="120">
        <v>1.2529860522462819</v>
      </c>
      <c r="L19"/>
      <c r="M19" s="135" t="s">
        <v>313</v>
      </c>
      <c r="N19" s="230">
        <v>262800</v>
      </c>
      <c r="O19" s="231" t="s">
        <v>313</v>
      </c>
      <c r="P19" s="230">
        <v>298860</v>
      </c>
      <c r="Q19" s="232" t="s">
        <v>313</v>
      </c>
      <c r="R19" s="232">
        <v>416695</v>
      </c>
      <c r="S19" s="238">
        <f t="shared" si="0"/>
        <v>263</v>
      </c>
      <c r="T19" s="238">
        <f t="shared" si="1"/>
        <v>299</v>
      </c>
      <c r="U19" s="239">
        <f t="shared" si="2"/>
        <v>416.7</v>
      </c>
      <c r="V19" s="261">
        <v>250</v>
      </c>
    </row>
    <row r="20" spans="1:24" ht="18" customHeight="1" x14ac:dyDescent="0.25">
      <c r="B20" s="116" t="s">
        <v>14</v>
      </c>
      <c r="C20" s="208"/>
      <c r="D20" s="21"/>
      <c r="E20" s="64"/>
      <c r="F20" s="21"/>
      <c r="G20" s="2"/>
      <c r="H20" s="21"/>
      <c r="I20" s="130"/>
      <c r="J20" s="252"/>
      <c r="K20" s="130"/>
      <c r="L20"/>
      <c r="M20" s="135" t="s">
        <v>314</v>
      </c>
      <c r="N20" s="230">
        <v>96570</v>
      </c>
      <c r="O20" s="231" t="s">
        <v>314</v>
      </c>
      <c r="P20" s="230">
        <v>106915</v>
      </c>
      <c r="Q20" s="232" t="s">
        <v>314</v>
      </c>
      <c r="R20" s="232">
        <v>113550</v>
      </c>
      <c r="S20" s="238">
        <f t="shared" si="0"/>
        <v>97</v>
      </c>
      <c r="T20" s="238">
        <f t="shared" si="1"/>
        <v>107</v>
      </c>
      <c r="U20" s="239">
        <f t="shared" si="2"/>
        <v>113.6</v>
      </c>
      <c r="V20" s="261">
        <v>103</v>
      </c>
    </row>
    <row r="21" spans="1:24" ht="16.5" x14ac:dyDescent="0.25">
      <c r="A21" s="236">
        <v>-1</v>
      </c>
      <c r="B21" s="116" t="s">
        <v>15</v>
      </c>
      <c r="C21" s="6">
        <f>+S24-1</f>
        <v>1134</v>
      </c>
      <c r="D21" s="6">
        <f>+T24</f>
        <v>2220</v>
      </c>
      <c r="E21" s="205">
        <f t="shared" ref="E21:E23" si="4">+D21/$D$13</f>
        <v>5.0953659712180681E-2</v>
      </c>
      <c r="F21" s="6">
        <f>+V24</f>
        <v>1775</v>
      </c>
      <c r="G21" s="205">
        <f>F21/D21</f>
        <v>0.7995495495495496</v>
      </c>
      <c r="H21" s="6">
        <f>+U24</f>
        <v>2961.1</v>
      </c>
      <c r="I21" s="254">
        <f>+H21/F21</f>
        <v>1.668225352112676</v>
      </c>
      <c r="J21" s="253">
        <v>1550</v>
      </c>
      <c r="K21" s="254">
        <v>1.4540337711069418</v>
      </c>
      <c r="L21"/>
      <c r="M21" s="135" t="s">
        <v>88</v>
      </c>
      <c r="N21" s="230">
        <v>13570540</v>
      </c>
      <c r="O21" s="231" t="s">
        <v>88</v>
      </c>
      <c r="P21" s="230">
        <v>14675030</v>
      </c>
      <c r="Q21" s="232" t="s">
        <v>88</v>
      </c>
      <c r="R21" s="232">
        <v>16162000</v>
      </c>
      <c r="S21" s="238">
        <f t="shared" si="0"/>
        <v>13571</v>
      </c>
      <c r="T21" s="238">
        <f t="shared" si="1"/>
        <v>14675</v>
      </c>
      <c r="U21" s="239">
        <f t="shared" si="2"/>
        <v>16162</v>
      </c>
      <c r="V21" s="261">
        <v>12734</v>
      </c>
    </row>
    <row r="22" spans="1:24" ht="16.5" x14ac:dyDescent="0.25">
      <c r="B22" s="116" t="s">
        <v>16</v>
      </c>
      <c r="C22" s="6">
        <f>+S23+S10</f>
        <v>536</v>
      </c>
      <c r="D22" s="6">
        <f>+T23+T10</f>
        <v>535</v>
      </c>
      <c r="E22" s="205">
        <f t="shared" si="4"/>
        <v>1.2279372948656154E-2</v>
      </c>
      <c r="F22" s="6">
        <f>+V23+V10</f>
        <v>443</v>
      </c>
      <c r="G22" s="205">
        <f>F22/D22</f>
        <v>0.82803738317757014</v>
      </c>
      <c r="H22" s="6">
        <f>+U23+U10</f>
        <v>523.6</v>
      </c>
      <c r="I22" s="254">
        <f>+H22/F22</f>
        <v>1.181941309255079</v>
      </c>
      <c r="J22" s="253">
        <v>535</v>
      </c>
      <c r="K22" s="254">
        <v>1.2131519274376417</v>
      </c>
      <c r="L22"/>
      <c r="M22" s="135" t="s">
        <v>87</v>
      </c>
      <c r="N22" s="230">
        <v>11800190</v>
      </c>
      <c r="O22" s="231" t="s">
        <v>87</v>
      </c>
      <c r="P22" s="230">
        <v>12875500</v>
      </c>
      <c r="Q22" s="232" t="s">
        <v>87</v>
      </c>
      <c r="R22" s="232">
        <v>13973361</v>
      </c>
      <c r="S22" s="238">
        <f t="shared" si="0"/>
        <v>11800</v>
      </c>
      <c r="T22" s="238">
        <f t="shared" si="1"/>
        <v>12876</v>
      </c>
      <c r="U22" s="239">
        <f>ROUND(R22/1000,1)</f>
        <v>13973.4</v>
      </c>
      <c r="V22" s="261">
        <v>12609</v>
      </c>
    </row>
    <row r="23" spans="1:24" ht="16.5" x14ac:dyDescent="0.25">
      <c r="B23" s="116" t="s">
        <v>83</v>
      </c>
      <c r="C23" s="6">
        <f>+S29</f>
        <v>330</v>
      </c>
      <c r="D23" s="6">
        <f>+T29</f>
        <v>420</v>
      </c>
      <c r="E23" s="205">
        <f t="shared" si="4"/>
        <v>9.6398815671693179E-3</v>
      </c>
      <c r="F23" s="6">
        <f>+V29</f>
        <v>415</v>
      </c>
      <c r="G23" s="205">
        <f>F23/D23</f>
        <v>0.98809523809523814</v>
      </c>
      <c r="H23" s="150">
        <f>+U29</f>
        <v>490</v>
      </c>
      <c r="I23" s="254">
        <v>1</v>
      </c>
      <c r="J23" s="255">
        <v>420</v>
      </c>
      <c r="K23" s="254">
        <v>1</v>
      </c>
      <c r="L23"/>
      <c r="M23" s="135" t="s">
        <v>321</v>
      </c>
      <c r="N23" s="230">
        <v>460390</v>
      </c>
      <c r="O23" s="231" t="s">
        <v>321</v>
      </c>
      <c r="P23" s="230">
        <v>425410</v>
      </c>
      <c r="Q23" s="232" t="s">
        <v>321</v>
      </c>
      <c r="R23" s="232">
        <v>440095</v>
      </c>
      <c r="S23" s="238">
        <f t="shared" si="0"/>
        <v>460</v>
      </c>
      <c r="T23" s="238">
        <f t="shared" si="1"/>
        <v>425</v>
      </c>
      <c r="U23" s="239">
        <f t="shared" si="2"/>
        <v>440.1</v>
      </c>
      <c r="V23" s="261">
        <v>411</v>
      </c>
    </row>
    <row r="24" spans="1:24" ht="16.5" x14ac:dyDescent="0.25">
      <c r="B24" s="128" t="s">
        <v>17</v>
      </c>
      <c r="C24" s="9">
        <f>+C23+C22+C21</f>
        <v>2000</v>
      </c>
      <c r="D24" s="9">
        <f>+D23+D22+D21</f>
        <v>3175</v>
      </c>
      <c r="E24" s="153">
        <f>D24/D13</f>
        <v>7.2872914228006153E-2</v>
      </c>
      <c r="F24" s="30">
        <f>+F22+F21+F23</f>
        <v>2633</v>
      </c>
      <c r="G24" s="31">
        <f>F24/D24</f>
        <v>0.82929133858267712</v>
      </c>
      <c r="H24" s="202">
        <f>+H22+H21+H23</f>
        <v>3974.7</v>
      </c>
      <c r="I24" s="120">
        <f>+H24/F24</f>
        <v>1.5095708317508545</v>
      </c>
      <c r="J24" s="257">
        <v>2505</v>
      </c>
      <c r="K24" s="120">
        <v>1.6622428666224287</v>
      </c>
      <c r="L24"/>
      <c r="M24" s="135" t="s">
        <v>90</v>
      </c>
      <c r="N24" s="230">
        <v>1134535</v>
      </c>
      <c r="O24" s="231" t="s">
        <v>90</v>
      </c>
      <c r="P24" s="230">
        <v>2219600</v>
      </c>
      <c r="Q24" s="232" t="s">
        <v>90</v>
      </c>
      <c r="R24" s="232">
        <v>2961125</v>
      </c>
      <c r="S24" s="238">
        <f t="shared" si="0"/>
        <v>1135</v>
      </c>
      <c r="T24" s="238">
        <f t="shared" si="1"/>
        <v>2220</v>
      </c>
      <c r="U24" s="239">
        <f t="shared" si="2"/>
        <v>2961.1</v>
      </c>
      <c r="V24" s="261">
        <f>1775</f>
        <v>1775</v>
      </c>
    </row>
    <row r="25" spans="1:24" ht="16.899999999999999" customHeight="1" x14ac:dyDescent="0.25">
      <c r="B25" s="116" t="s">
        <v>18</v>
      </c>
      <c r="C25" s="208"/>
      <c r="D25" s="21"/>
      <c r="E25" s="64"/>
      <c r="F25" s="21"/>
      <c r="G25" s="21"/>
      <c r="H25" s="21"/>
      <c r="I25" s="130"/>
      <c r="J25" s="252"/>
      <c r="K25" s="130"/>
      <c r="L25"/>
      <c r="M25" s="135" t="s">
        <v>315</v>
      </c>
      <c r="N25" s="230">
        <v>1996105</v>
      </c>
      <c r="O25" s="231" t="s">
        <v>315</v>
      </c>
      <c r="P25" s="230">
        <v>2175725</v>
      </c>
      <c r="Q25" s="232" t="s">
        <v>315</v>
      </c>
      <c r="R25" s="232">
        <v>2208663</v>
      </c>
      <c r="S25" s="238">
        <f t="shared" si="0"/>
        <v>1996</v>
      </c>
      <c r="T25" s="238">
        <f t="shared" si="1"/>
        <v>2176</v>
      </c>
      <c r="U25" s="239">
        <f t="shared" si="2"/>
        <v>2208.6999999999998</v>
      </c>
      <c r="V25" s="261">
        <v>538</v>
      </c>
    </row>
    <row r="26" spans="1:24" ht="16.5" x14ac:dyDescent="0.25">
      <c r="B26" s="116" t="s">
        <v>19</v>
      </c>
      <c r="C26" s="12">
        <f>+S8+S9+S18+S19+S20+S25+S26+S27+S28+S30+S31-1514+105</f>
        <v>4184</v>
      </c>
      <c r="D26" s="12">
        <f>+T8+T9+T18+T19+T20+T25+T26+T27+T28+T30+T31-1575+105</f>
        <v>5312</v>
      </c>
      <c r="E26" s="205">
        <f t="shared" ref="E26" si="5">+D26/$D$13</f>
        <v>0.12192154972572242</v>
      </c>
      <c r="F26" s="12">
        <f>+V8+V9+V18+V19+V20+V25+V26+V27+V28+V30+V31</f>
        <v>3754</v>
      </c>
      <c r="G26" s="205">
        <f>F26/D26</f>
        <v>0.70670180722891562</v>
      </c>
      <c r="H26" s="12">
        <f>+U8+U9+U18+U19+U20+U25+U26+U27+U28+U30+U31</f>
        <v>7250.8999999999987</v>
      </c>
      <c r="I26" s="254">
        <f>+H26/F26</f>
        <v>1.9315130527437396</v>
      </c>
      <c r="J26" s="258">
        <v>5980</v>
      </c>
      <c r="K26" s="254">
        <v>1.7164179104477613</v>
      </c>
      <c r="L26"/>
      <c r="M26" s="135" t="s">
        <v>316</v>
      </c>
      <c r="N26" s="230">
        <v>784260</v>
      </c>
      <c r="O26" s="231" t="s">
        <v>316</v>
      </c>
      <c r="P26" s="230">
        <v>1673975</v>
      </c>
      <c r="Q26" s="232" t="s">
        <v>316</v>
      </c>
      <c r="R26" s="232">
        <v>1840610</v>
      </c>
      <c r="S26" s="238">
        <f t="shared" si="0"/>
        <v>784</v>
      </c>
      <c r="T26" s="238">
        <f t="shared" si="1"/>
        <v>1674</v>
      </c>
      <c r="U26" s="239">
        <f t="shared" si="2"/>
        <v>1840.6</v>
      </c>
      <c r="V26" s="261">
        <f>752</f>
        <v>752</v>
      </c>
    </row>
    <row r="27" spans="1:24" ht="16.899999999999999" customHeight="1" x14ac:dyDescent="0.25">
      <c r="B27" s="128" t="s">
        <v>20</v>
      </c>
      <c r="C27" s="30">
        <f>+C26</f>
        <v>4184</v>
      </c>
      <c r="D27" s="30">
        <f>+D26</f>
        <v>5312</v>
      </c>
      <c r="E27" s="120">
        <f>D27/D13</f>
        <v>0.12192154972572242</v>
      </c>
      <c r="F27" s="30">
        <f>+F26</f>
        <v>3754</v>
      </c>
      <c r="G27" s="31">
        <f>F27/D27</f>
        <v>0.70670180722891562</v>
      </c>
      <c r="H27" s="30">
        <f>+H26</f>
        <v>7250.8999999999987</v>
      </c>
      <c r="I27" s="120">
        <f>+H27/F27</f>
        <v>1.9315130527437396</v>
      </c>
      <c r="J27" s="256">
        <v>5980</v>
      </c>
      <c r="K27" s="120">
        <v>1.7164179104477613</v>
      </c>
      <c r="L27"/>
      <c r="M27" s="135" t="s">
        <v>222</v>
      </c>
      <c r="N27" s="230">
        <v>198530</v>
      </c>
      <c r="O27" s="231" t="s">
        <v>222</v>
      </c>
      <c r="P27" s="230">
        <v>229555</v>
      </c>
      <c r="Q27" s="232" t="s">
        <v>222</v>
      </c>
      <c r="R27" s="232">
        <v>232990</v>
      </c>
      <c r="S27" s="238">
        <f t="shared" si="0"/>
        <v>199</v>
      </c>
      <c r="T27" s="238">
        <f t="shared" si="1"/>
        <v>230</v>
      </c>
      <c r="U27" s="239">
        <f t="shared" si="2"/>
        <v>233</v>
      </c>
      <c r="V27" s="261">
        <v>206</v>
      </c>
    </row>
    <row r="28" spans="1:24" ht="17.25" thickBot="1" x14ac:dyDescent="0.3">
      <c r="B28" s="137" t="s">
        <v>322</v>
      </c>
      <c r="C28" s="282"/>
      <c r="D28" s="282">
        <v>2435</v>
      </c>
      <c r="E28" s="260"/>
      <c r="F28" s="282">
        <f>810+392+200</f>
        <v>1402</v>
      </c>
      <c r="G28" s="283"/>
      <c r="H28" s="282">
        <f>840+358+1000-100</f>
        <v>2098</v>
      </c>
      <c r="I28" s="260"/>
      <c r="J28" s="259">
        <v>2435</v>
      </c>
      <c r="K28" s="260">
        <v>1</v>
      </c>
      <c r="L28"/>
      <c r="M28" s="135" t="s">
        <v>317</v>
      </c>
      <c r="N28" s="230">
        <v>746760</v>
      </c>
      <c r="O28" s="231" t="s">
        <v>317</v>
      </c>
      <c r="P28" s="230">
        <v>797625</v>
      </c>
      <c r="Q28" s="232" t="s">
        <v>317</v>
      </c>
      <c r="R28" s="232">
        <v>866055</v>
      </c>
      <c r="S28" s="238">
        <f t="shared" si="0"/>
        <v>747</v>
      </c>
      <c r="T28" s="238">
        <f t="shared" si="1"/>
        <v>798</v>
      </c>
      <c r="U28" s="239">
        <f t="shared" si="2"/>
        <v>866.1</v>
      </c>
      <c r="V28" s="261">
        <v>807</v>
      </c>
    </row>
    <row r="29" spans="1:24" ht="14.45" customHeight="1" x14ac:dyDescent="0.25">
      <c r="B29" s="20"/>
      <c r="C29" s="70"/>
      <c r="D29" s="70"/>
      <c r="E29" s="20"/>
      <c r="F29" s="20"/>
      <c r="G29" s="20"/>
      <c r="H29" s="20"/>
      <c r="I29" s="20"/>
      <c r="J29" s="20"/>
      <c r="K29" s="20"/>
      <c r="L29" s="66"/>
      <c r="M29" s="135" t="s">
        <v>318</v>
      </c>
      <c r="N29" s="230">
        <v>329825</v>
      </c>
      <c r="O29" s="231" t="s">
        <v>318</v>
      </c>
      <c r="P29" s="230">
        <v>419510</v>
      </c>
      <c r="Q29" s="232" t="s">
        <v>318</v>
      </c>
      <c r="R29" s="232">
        <v>490000</v>
      </c>
      <c r="S29" s="238">
        <f>ROUND(N29/1000,0)</f>
        <v>330</v>
      </c>
      <c r="T29" s="238">
        <f>ROUND(P29/1000,0)</f>
        <v>420</v>
      </c>
      <c r="U29" s="239">
        <f t="shared" si="2"/>
        <v>490</v>
      </c>
      <c r="V29" s="261">
        <v>415</v>
      </c>
    </row>
    <row r="30" spans="1:24" ht="14.45" customHeight="1" x14ac:dyDescent="0.25">
      <c r="B30" s="20"/>
      <c r="C30" s="70"/>
      <c r="D30" s="70"/>
      <c r="E30" s="20"/>
      <c r="F30" s="20"/>
      <c r="G30" s="20"/>
      <c r="H30" s="20"/>
      <c r="I30" s="20"/>
      <c r="J30" s="20"/>
      <c r="K30" s="20"/>
      <c r="L30" s="66"/>
      <c r="M30" s="135" t="s">
        <v>319</v>
      </c>
      <c r="N30" s="230">
        <v>49030</v>
      </c>
      <c r="O30" s="231" t="s">
        <v>319</v>
      </c>
      <c r="P30" s="230">
        <v>97200</v>
      </c>
      <c r="Q30" s="232" t="s">
        <v>319</v>
      </c>
      <c r="R30" s="232">
        <v>102425</v>
      </c>
      <c r="S30" s="238">
        <f>ROUND(N30/1000,0)</f>
        <v>49</v>
      </c>
      <c r="T30" s="238">
        <f>ROUND(P30/1000,0)</f>
        <v>97</v>
      </c>
      <c r="U30" s="239">
        <f t="shared" si="2"/>
        <v>102.4</v>
      </c>
      <c r="V30" s="261">
        <v>77</v>
      </c>
    </row>
    <row r="31" spans="1:24" ht="15.75" thickBot="1" x14ac:dyDescent="0.3">
      <c r="B31" s="20"/>
      <c r="C31" s="70"/>
      <c r="D31" s="70"/>
      <c r="E31" s="20"/>
      <c r="F31" s="20"/>
      <c r="G31" s="20"/>
      <c r="H31" s="38"/>
      <c r="I31" s="20"/>
      <c r="J31" s="20"/>
      <c r="K31" s="20"/>
      <c r="L31" s="66"/>
      <c r="M31" s="135" t="s">
        <v>320</v>
      </c>
      <c r="N31" s="230">
        <v>543090</v>
      </c>
      <c r="O31" s="231" t="s">
        <v>320</v>
      </c>
      <c r="P31" s="230">
        <v>487530</v>
      </c>
      <c r="Q31" s="232" t="s">
        <v>320</v>
      </c>
      <c r="R31" s="232">
        <v>598239</v>
      </c>
      <c r="S31" s="240">
        <f>ROUND(N31/1000,0)</f>
        <v>543</v>
      </c>
      <c r="T31" s="240">
        <f>ROUND(P31/1000,0)</f>
        <v>488</v>
      </c>
      <c r="U31" s="239">
        <f t="shared" si="2"/>
        <v>598.20000000000005</v>
      </c>
      <c r="V31" s="261">
        <v>362</v>
      </c>
    </row>
    <row r="32" spans="1:24" ht="23.25" thickBot="1" x14ac:dyDescent="0.35">
      <c r="B32" s="160">
        <v>2014</v>
      </c>
      <c r="C32" s="174"/>
      <c r="D32" s="38"/>
      <c r="F32" s="20"/>
      <c r="H32" s="20"/>
      <c r="M32" s="227"/>
      <c r="N32" s="233">
        <f>SUM(N8:N31)</f>
        <v>36201025</v>
      </c>
      <c r="O32" s="233"/>
      <c r="P32" s="233">
        <f>SUM(P8:P31)</f>
        <v>42600100</v>
      </c>
      <c r="Q32" s="233"/>
      <c r="R32" s="233">
        <f>SUM(R8:R31)</f>
        <v>46553338</v>
      </c>
      <c r="S32" s="227">
        <f>SUM(S8:S31)</f>
        <v>36203</v>
      </c>
      <c r="T32" s="229">
        <f>SUM(T8:T31)</f>
        <v>42604</v>
      </c>
      <c r="U32" s="228">
        <f>SUM(U8:U31)</f>
        <v>46553.099999999991</v>
      </c>
      <c r="V32" s="346">
        <f>SUM(V8:V31)</f>
        <v>36064</v>
      </c>
    </row>
    <row r="33" spans="2:25" x14ac:dyDescent="0.25">
      <c r="B33" t="s">
        <v>294</v>
      </c>
      <c r="C33" s="36"/>
      <c r="D33" s="38"/>
      <c r="F33" s="20"/>
      <c r="H33" s="20"/>
      <c r="P33" s="162"/>
    </row>
    <row r="34" spans="2:25" ht="15.75" thickBot="1" x14ac:dyDescent="0.3">
      <c r="B34" s="176" t="s">
        <v>283</v>
      </c>
      <c r="C34" s="176" t="s">
        <v>280</v>
      </c>
      <c r="D34" s="177" t="s">
        <v>285</v>
      </c>
      <c r="E34" t="s">
        <v>89</v>
      </c>
      <c r="F34" s="177" t="s">
        <v>35</v>
      </c>
      <c r="G34" s="177" t="s">
        <v>35</v>
      </c>
      <c r="H34" s="187" t="s">
        <v>35</v>
      </c>
      <c r="I34" s="177"/>
      <c r="J34" s="177"/>
      <c r="K34" s="177"/>
      <c r="L34" s="177"/>
      <c r="M34" s="40"/>
      <c r="N34" s="36"/>
      <c r="O34" s="177" t="s">
        <v>281</v>
      </c>
      <c r="P34" s="177" t="s">
        <v>281</v>
      </c>
      <c r="Q34" s="178" t="s">
        <v>41</v>
      </c>
    </row>
    <row r="35" spans="2:25" ht="20.25" thickBot="1" x14ac:dyDescent="0.35">
      <c r="B35" s="161" t="s">
        <v>282</v>
      </c>
      <c r="C35" s="172"/>
      <c r="D35" s="181"/>
      <c r="E35" s="181"/>
      <c r="F35" s="175"/>
      <c r="G35" s="175"/>
      <c r="H35" s="175"/>
      <c r="I35" s="175"/>
      <c r="J35" s="175"/>
      <c r="K35" s="175"/>
      <c r="L35" s="38"/>
      <c r="M35" s="38"/>
      <c r="N35" s="38"/>
      <c r="O35" s="38"/>
      <c r="P35" s="40"/>
      <c r="Q35" s="40"/>
    </row>
    <row r="36" spans="2:25" ht="15.75" thickTop="1" x14ac:dyDescent="0.25">
      <c r="B36" s="179" t="s">
        <v>88</v>
      </c>
      <c r="C36" s="180">
        <v>13587105</v>
      </c>
      <c r="D36" s="182"/>
      <c r="E36" s="189"/>
      <c r="F36" s="181"/>
      <c r="G36" s="181"/>
      <c r="H36" s="217">
        <f>ROUND((+E36+D36+C36)/1000,0)</f>
        <v>13587</v>
      </c>
      <c r="I36" s="181"/>
      <c r="J36" s="181"/>
      <c r="K36" s="181"/>
      <c r="L36" s="180"/>
      <c r="M36" s="180"/>
      <c r="N36" s="180"/>
      <c r="O36" s="180"/>
      <c r="P36" s="39">
        <v>130655</v>
      </c>
      <c r="Q36" s="38">
        <f>ROUND((+P36+E36+D36+C36)/1000,0)</f>
        <v>13718</v>
      </c>
    </row>
    <row r="37" spans="2:25" x14ac:dyDescent="0.25">
      <c r="B37" s="171" t="s">
        <v>42</v>
      </c>
      <c r="C37" s="184">
        <f>1347280*0.56</f>
        <v>754476.8</v>
      </c>
      <c r="D37" s="184"/>
      <c r="E37" s="190"/>
      <c r="F37" s="182"/>
      <c r="G37" s="182"/>
      <c r="H37" s="217">
        <f>ROUND((+E37+D37+C37)/1000,0)</f>
        <v>754</v>
      </c>
      <c r="I37" s="182"/>
      <c r="J37" s="182"/>
      <c r="K37" s="182"/>
      <c r="L37" s="184"/>
      <c r="M37" s="184"/>
      <c r="N37" s="184"/>
      <c r="O37" s="184"/>
      <c r="P37" s="39">
        <f>60385.2327879728-1.28</f>
        <v>60383.952787972805</v>
      </c>
      <c r="Q37" s="38">
        <f>ROUND((+P37+E37+D37+C37)/1000,0)</f>
        <v>815</v>
      </c>
    </row>
    <row r="38" spans="2:25" x14ac:dyDescent="0.25">
      <c r="B38" s="165" t="s">
        <v>93</v>
      </c>
      <c r="C38" s="38">
        <v>4550718</v>
      </c>
      <c r="D38" s="173"/>
      <c r="E38" s="190"/>
      <c r="F38" s="175"/>
      <c r="G38" s="175"/>
      <c r="H38" s="217">
        <f>ROUND((+E38+D38+C38)/1000,0)</f>
        <v>4551</v>
      </c>
      <c r="I38" s="175"/>
      <c r="J38" s="175"/>
      <c r="K38" s="175"/>
      <c r="L38" s="38"/>
      <c r="M38" s="38"/>
      <c r="N38" s="38"/>
      <c r="O38" s="38"/>
      <c r="P38" s="39">
        <v>63809.029602407449</v>
      </c>
      <c r="Q38" s="38">
        <f>ROUND((+P38+E38+D38+C38)/1000,0)</f>
        <v>4615</v>
      </c>
    </row>
    <row r="39" spans="2:25" x14ac:dyDescent="0.25">
      <c r="C39" s="38"/>
      <c r="D39" s="175"/>
      <c r="E39" s="173"/>
      <c r="F39" s="175"/>
      <c r="G39" s="175"/>
      <c r="H39" s="218"/>
      <c r="I39" s="175"/>
      <c r="J39" s="175"/>
      <c r="K39" s="175"/>
      <c r="L39" s="38"/>
      <c r="M39" s="38"/>
      <c r="N39" s="38"/>
      <c r="O39" s="38"/>
      <c r="Q39" s="38"/>
      <c r="R39" s="39"/>
    </row>
    <row r="40" spans="2:25" ht="20.25" thickBot="1" x14ac:dyDescent="0.35">
      <c r="B40" s="161" t="s">
        <v>284</v>
      </c>
      <c r="C40" s="38"/>
      <c r="D40" s="175"/>
      <c r="E40" s="220"/>
      <c r="F40" s="175"/>
      <c r="G40" s="175"/>
      <c r="H40" s="218"/>
      <c r="I40" s="175"/>
      <c r="J40" s="175"/>
      <c r="K40" s="175"/>
      <c r="L40" s="38"/>
      <c r="M40" s="38"/>
      <c r="N40" s="38"/>
      <c r="O40" s="38"/>
      <c r="P40" s="39"/>
      <c r="Q40" s="38"/>
      <c r="R40" s="39"/>
    </row>
    <row r="41" spans="2:25" ht="15.75" thickTop="1" x14ac:dyDescent="0.25">
      <c r="B41" s="165" t="s">
        <v>87</v>
      </c>
      <c r="C41" s="38">
        <f>7265929+3420+278</f>
        <v>7269627</v>
      </c>
      <c r="D41" s="175"/>
      <c r="E41" s="173"/>
      <c r="F41" s="175"/>
      <c r="G41" s="175"/>
      <c r="H41" s="217">
        <f>ROUND((+E41+D41+C41)/1000,0)</f>
        <v>7270</v>
      </c>
      <c r="I41" s="175"/>
      <c r="J41" s="175"/>
      <c r="K41" s="175"/>
      <c r="L41" s="38"/>
      <c r="M41" s="38"/>
      <c r="N41" s="38"/>
      <c r="O41" s="38"/>
      <c r="P41" s="39">
        <v>101881.0391349213</v>
      </c>
      <c r="Q41" s="38">
        <f>ROUND((+P41+E41+D41+C41)/1000,0)</f>
        <v>7372</v>
      </c>
      <c r="R41" s="39"/>
    </row>
    <row r="42" spans="2:25" x14ac:dyDescent="0.25">
      <c r="B42" s="164" t="s">
        <v>42</v>
      </c>
      <c r="C42" s="38">
        <f>1347280*0.44</f>
        <v>592803.19999999995</v>
      </c>
      <c r="D42" s="184"/>
      <c r="E42" s="173"/>
      <c r="F42" s="175"/>
      <c r="G42" s="175"/>
      <c r="H42" s="217">
        <f>ROUND((+E42+D42+C42)/1000,0)</f>
        <v>593</v>
      </c>
      <c r="I42" s="175"/>
      <c r="J42" s="175"/>
      <c r="K42" s="175"/>
      <c r="L42" s="38"/>
      <c r="M42" s="38"/>
      <c r="N42" s="38"/>
      <c r="O42" s="38"/>
      <c r="P42" s="39">
        <v>44236.046260543175</v>
      </c>
      <c r="Q42" s="38">
        <f>ROUND((+P42+E42+D42+C42)/1000,0)</f>
        <v>637</v>
      </c>
    </row>
    <row r="43" spans="2:25" x14ac:dyDescent="0.25">
      <c r="B43" s="164" t="s">
        <v>94</v>
      </c>
      <c r="C43" s="38">
        <v>710515</v>
      </c>
      <c r="D43" s="175"/>
      <c r="E43" s="190"/>
      <c r="F43" s="175"/>
      <c r="G43" s="175"/>
      <c r="H43" s="217">
        <f>ROUND((+E43+D43+C43)/1000,0)</f>
        <v>711</v>
      </c>
      <c r="I43" s="175"/>
      <c r="J43" s="175"/>
      <c r="K43" s="175"/>
      <c r="L43" s="38"/>
      <c r="M43" s="38"/>
      <c r="N43" s="38"/>
      <c r="O43" s="38"/>
      <c r="P43" s="39">
        <v>19610</v>
      </c>
      <c r="Q43" s="38">
        <f>ROUND((+P43+E43+D43+C43)/1000,0)</f>
        <v>730</v>
      </c>
      <c r="Y43" s="38"/>
    </row>
    <row r="44" spans="2:25" x14ac:dyDescent="0.25">
      <c r="C44" s="38"/>
      <c r="D44" s="175"/>
      <c r="E44" s="173"/>
      <c r="F44" s="175"/>
      <c r="G44" s="175"/>
      <c r="H44" s="218"/>
      <c r="I44" s="175"/>
      <c r="J44" s="175"/>
      <c r="K44" s="175"/>
      <c r="L44" s="38"/>
      <c r="M44" s="38"/>
      <c r="N44" s="38"/>
      <c r="O44" s="38"/>
      <c r="Q44" s="38"/>
      <c r="R44" s="39"/>
    </row>
    <row r="45" spans="2:25" ht="20.25" thickBot="1" x14ac:dyDescent="0.35">
      <c r="B45" s="161" t="s">
        <v>90</v>
      </c>
      <c r="C45" s="38">
        <f>+C41+C38</f>
        <v>11820345</v>
      </c>
      <c r="D45" s="175"/>
      <c r="E45" s="190"/>
      <c r="F45" s="175"/>
      <c r="G45" s="175"/>
      <c r="H45" s="218"/>
      <c r="I45" s="175"/>
      <c r="J45" s="175"/>
      <c r="K45" s="175"/>
      <c r="L45" s="38"/>
      <c r="M45" s="38"/>
      <c r="N45" s="38"/>
      <c r="O45" s="38"/>
      <c r="Q45" s="38"/>
      <c r="R45" s="39"/>
    </row>
    <row r="46" spans="2:25" ht="15.75" thickTop="1" x14ac:dyDescent="0.25">
      <c r="C46" s="38">
        <v>1154420</v>
      </c>
      <c r="D46" s="175"/>
      <c r="E46" s="173"/>
      <c r="F46" s="175"/>
      <c r="G46" s="175"/>
      <c r="H46" s="217">
        <f>ROUND((+E46+D46+C46)/1000,0)</f>
        <v>1154</v>
      </c>
      <c r="I46" s="175"/>
      <c r="J46" s="175"/>
      <c r="K46" s="175"/>
      <c r="L46" s="38"/>
      <c r="M46" s="38"/>
      <c r="N46" s="38"/>
      <c r="O46" s="38"/>
      <c r="P46" s="39">
        <v>90580.469538812788</v>
      </c>
      <c r="Q46" s="38">
        <f>ROUND((+P46+E46+D46+C46)/1000,0)</f>
        <v>1245</v>
      </c>
      <c r="R46" s="39"/>
    </row>
    <row r="47" spans="2:25" x14ac:dyDescent="0.25">
      <c r="C47" s="38"/>
      <c r="D47" s="175"/>
      <c r="E47" s="173"/>
      <c r="F47" s="175"/>
      <c r="G47" s="175"/>
      <c r="H47" s="218"/>
      <c r="I47" s="175"/>
      <c r="J47" s="175"/>
      <c r="K47" s="175"/>
      <c r="L47" s="38"/>
      <c r="M47" s="38"/>
      <c r="N47" s="38"/>
      <c r="O47" s="38"/>
      <c r="Q47" s="38"/>
      <c r="R47" s="39"/>
    </row>
    <row r="48" spans="2:25" ht="20.25" thickBot="1" x14ac:dyDescent="0.35">
      <c r="B48" s="161" t="s">
        <v>91</v>
      </c>
      <c r="C48" s="38"/>
      <c r="D48" s="175">
        <f>471930+64180</f>
        <v>536110</v>
      </c>
      <c r="E48" s="190"/>
      <c r="F48" s="175"/>
      <c r="G48" s="175"/>
      <c r="H48" s="217">
        <f>ROUND((+E48+D48+C48)/1000,0)</f>
        <v>536</v>
      </c>
      <c r="I48" s="175"/>
      <c r="J48" s="175"/>
      <c r="K48" s="175"/>
      <c r="L48" s="38"/>
      <c r="M48" s="38"/>
      <c r="N48" s="38"/>
      <c r="O48" s="38"/>
      <c r="P48" s="39">
        <f>87610+28115</f>
        <v>115725</v>
      </c>
      <c r="Q48" s="38">
        <f>ROUND((+P48+E48+D48+C48)/1000,0)</f>
        <v>652</v>
      </c>
      <c r="R48" s="39"/>
    </row>
    <row r="49" spans="2:18" ht="15.75" thickTop="1" x14ac:dyDescent="0.25">
      <c r="C49" s="38"/>
      <c r="D49" s="175"/>
      <c r="E49" s="173"/>
      <c r="F49" s="175"/>
      <c r="G49" s="175"/>
      <c r="H49" s="218"/>
      <c r="I49" s="175"/>
      <c r="J49" s="175"/>
      <c r="K49" s="175"/>
      <c r="L49" s="38"/>
      <c r="M49" s="38"/>
      <c r="N49" s="38"/>
      <c r="O49" s="38"/>
      <c r="Q49" s="38"/>
    </row>
    <row r="50" spans="2:18" ht="20.25" thickBot="1" x14ac:dyDescent="0.35">
      <c r="B50" s="161" t="s">
        <v>287</v>
      </c>
      <c r="C50" s="38">
        <v>335130</v>
      </c>
      <c r="D50" s="175"/>
      <c r="E50" s="173"/>
      <c r="F50" s="175"/>
      <c r="G50" s="175"/>
      <c r="H50" s="217">
        <f>ROUND((+E50+D50+C50)/1000,0)</f>
        <v>335</v>
      </c>
      <c r="I50" s="175"/>
      <c r="J50" s="175"/>
      <c r="K50" s="175"/>
      <c r="L50" s="38"/>
      <c r="M50" s="38"/>
      <c r="N50" s="38"/>
      <c r="O50" s="38"/>
      <c r="Q50" s="38">
        <f>ROUND((+P50+E50+D50+C50)/1000,0)</f>
        <v>335</v>
      </c>
    </row>
    <row r="51" spans="2:18" ht="15.75" thickTop="1" x14ac:dyDescent="0.25">
      <c r="C51" s="38"/>
      <c r="D51" s="175"/>
      <c r="E51" s="175"/>
      <c r="F51" s="175"/>
      <c r="G51" s="175"/>
      <c r="H51" s="218"/>
      <c r="I51" s="175"/>
      <c r="J51" s="175"/>
      <c r="K51" s="175"/>
      <c r="L51" s="38"/>
      <c r="M51" s="38"/>
      <c r="N51" s="38"/>
      <c r="O51" s="38"/>
      <c r="Q51" s="38"/>
    </row>
    <row r="52" spans="2:18" x14ac:dyDescent="0.25">
      <c r="B52" s="188" t="s">
        <v>13</v>
      </c>
      <c r="C52" s="38">
        <f>SUM(C36:C50)</f>
        <v>40775140</v>
      </c>
      <c r="D52" s="38">
        <f>SUM(D36:D50)</f>
        <v>536110</v>
      </c>
      <c r="E52" s="40">
        <f>SUM(E36:E50)</f>
        <v>0</v>
      </c>
      <c r="F52" s="175"/>
      <c r="G52" s="175"/>
      <c r="H52" s="219">
        <f>SUM(H36:H50)</f>
        <v>29491</v>
      </c>
      <c r="I52" s="175"/>
      <c r="J52" s="175"/>
      <c r="K52" s="175"/>
      <c r="L52" s="38"/>
      <c r="M52" s="38"/>
      <c r="N52" s="38"/>
      <c r="O52" s="38"/>
      <c r="P52" s="40">
        <f>SUM(P36:P51)</f>
        <v>626880.53732465755</v>
      </c>
      <c r="Q52" s="40">
        <f>SUM(Q36:Q50)</f>
        <v>30119</v>
      </c>
    </row>
    <row r="53" spans="2:18" x14ac:dyDescent="0.25">
      <c r="C53" s="38"/>
      <c r="D53" s="185"/>
      <c r="E53" s="175"/>
      <c r="F53" s="175"/>
      <c r="G53" s="175"/>
      <c r="H53" s="218"/>
      <c r="I53" s="175"/>
      <c r="J53" s="175"/>
      <c r="K53" s="175"/>
      <c r="L53" s="38"/>
      <c r="M53" s="38"/>
      <c r="N53" s="38"/>
      <c r="O53" s="38"/>
      <c r="Q53" s="38"/>
    </row>
    <row r="54" spans="2:18" x14ac:dyDescent="0.25">
      <c r="B54" s="188" t="s">
        <v>92</v>
      </c>
      <c r="C54" s="38">
        <f>560140+51525+27720+217720+105285+760620+247150+494900+578740+276155+757605-20000+41410</f>
        <v>4098970</v>
      </c>
      <c r="D54" s="175"/>
      <c r="E54" s="175"/>
      <c r="F54" s="175"/>
      <c r="G54" s="175"/>
      <c r="H54" s="217">
        <f>ROUND((+E54+D54+C54)/1000,0)</f>
        <v>4099</v>
      </c>
      <c r="I54" s="175"/>
      <c r="J54" s="175"/>
      <c r="K54" s="175"/>
      <c r="L54" s="38"/>
      <c r="M54" s="38"/>
      <c r="N54" s="38"/>
      <c r="O54" s="38"/>
      <c r="P54" s="39">
        <f>92530+17385+13870+125360+37415+128720+69170+67830+82290+118755+133800</f>
        <v>887125</v>
      </c>
      <c r="Q54" s="40">
        <f>ROUND((+P54+E54+D54+C54)/1000,0)</f>
        <v>4986</v>
      </c>
    </row>
    <row r="55" spans="2:18" x14ac:dyDescent="0.25">
      <c r="C55" s="38"/>
      <c r="D55" s="175"/>
      <c r="E55" s="175"/>
      <c r="F55" s="175"/>
      <c r="G55" s="175"/>
      <c r="H55" s="175"/>
      <c r="I55" s="175"/>
      <c r="J55" s="175"/>
      <c r="K55" s="175"/>
      <c r="L55" s="38"/>
      <c r="M55" s="38"/>
      <c r="N55" s="38"/>
      <c r="O55" s="38"/>
      <c r="Q55" s="38"/>
    </row>
    <row r="56" spans="2:18" x14ac:dyDescent="0.25">
      <c r="C56" s="38"/>
      <c r="D56" s="185"/>
      <c r="E56" s="175"/>
      <c r="F56" s="175"/>
      <c r="G56" s="175"/>
      <c r="H56" s="175"/>
      <c r="I56" s="175"/>
      <c r="J56" s="175"/>
      <c r="K56" s="175"/>
      <c r="L56" s="38"/>
      <c r="M56" s="38"/>
      <c r="N56" s="38"/>
      <c r="O56" s="38"/>
      <c r="Q56" s="38"/>
    </row>
    <row r="57" spans="2:18" x14ac:dyDescent="0.25">
      <c r="B57" s="188" t="s">
        <v>288</v>
      </c>
      <c r="D57" s="175"/>
      <c r="E57" s="175"/>
      <c r="F57" s="175"/>
      <c r="G57" s="175"/>
      <c r="H57" s="175">
        <f>+H54+H52</f>
        <v>33590</v>
      </c>
      <c r="I57" s="175"/>
      <c r="J57" s="175"/>
      <c r="K57" s="175"/>
      <c r="L57" s="38"/>
      <c r="M57" s="38"/>
      <c r="N57" s="38"/>
      <c r="O57" s="38"/>
      <c r="P57" s="39">
        <f>ROUND((+P54+P52)/1000,0)</f>
        <v>1514</v>
      </c>
      <c r="Q57" s="40">
        <f>+P57+H57</f>
        <v>35104</v>
      </c>
      <c r="R57" s="39"/>
    </row>
    <row r="58" spans="2:18" x14ac:dyDescent="0.25">
      <c r="C58" s="38"/>
      <c r="D58" s="175"/>
      <c r="E58" s="175"/>
      <c r="F58" s="175"/>
      <c r="G58" s="175"/>
      <c r="H58" s="175"/>
      <c r="I58" s="175"/>
      <c r="J58" s="175"/>
      <c r="K58" s="175"/>
      <c r="L58" s="38"/>
      <c r="M58" s="38"/>
      <c r="N58" s="38"/>
      <c r="O58" s="38"/>
      <c r="Q58" s="38"/>
    </row>
    <row r="59" spans="2:18" x14ac:dyDescent="0.25">
      <c r="C59" s="38"/>
      <c r="D59" s="175"/>
      <c r="E59" s="175"/>
      <c r="F59" s="175"/>
      <c r="G59" s="175"/>
      <c r="H59" s="175"/>
      <c r="I59" s="175"/>
      <c r="J59" s="175"/>
      <c r="K59" s="175"/>
      <c r="L59" s="38"/>
      <c r="M59" s="38"/>
      <c r="N59" s="38"/>
      <c r="O59" s="38"/>
      <c r="P59" s="39"/>
      <c r="Q59" s="38"/>
    </row>
    <row r="60" spans="2:18" x14ac:dyDescent="0.25">
      <c r="C60" s="38"/>
      <c r="D60" s="175"/>
      <c r="E60" s="175"/>
      <c r="F60" s="175"/>
      <c r="G60" s="175"/>
      <c r="H60" s="175"/>
      <c r="I60" s="175"/>
      <c r="J60" s="175"/>
      <c r="K60" s="175"/>
      <c r="L60" s="38"/>
      <c r="M60" s="38"/>
      <c r="N60" s="38"/>
      <c r="O60" s="38"/>
      <c r="Q60" s="38"/>
    </row>
    <row r="61" spans="2:18" ht="22.5" x14ac:dyDescent="0.3">
      <c r="B61" s="160">
        <v>2013</v>
      </c>
      <c r="C61" s="38"/>
      <c r="D61" s="175"/>
      <c r="E61" s="175"/>
      <c r="F61" s="175"/>
      <c r="G61" s="175"/>
      <c r="H61" s="175"/>
      <c r="I61" s="175"/>
      <c r="J61" s="175"/>
      <c r="K61" s="175"/>
      <c r="L61" s="38"/>
      <c r="M61" s="38"/>
      <c r="N61" s="38"/>
      <c r="O61" s="38"/>
      <c r="Q61" s="38"/>
    </row>
    <row r="62" spans="2:18" x14ac:dyDescent="0.25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Q62" s="38"/>
    </row>
    <row r="63" spans="2:18" ht="15.75" thickBot="1" x14ac:dyDescent="0.3">
      <c r="B63" s="176" t="s">
        <v>283</v>
      </c>
      <c r="C63" s="176" t="s">
        <v>280</v>
      </c>
      <c r="D63" s="177" t="s">
        <v>285</v>
      </c>
      <c r="E63" t="s">
        <v>89</v>
      </c>
      <c r="F63" s="177" t="s">
        <v>35</v>
      </c>
      <c r="G63" s="177" t="s">
        <v>35</v>
      </c>
      <c r="H63" s="187" t="s">
        <v>35</v>
      </c>
      <c r="I63" s="177"/>
      <c r="J63" s="177"/>
      <c r="K63" s="177"/>
      <c r="L63" s="177"/>
      <c r="M63" s="40"/>
      <c r="N63" s="36"/>
      <c r="O63" s="177" t="s">
        <v>281</v>
      </c>
      <c r="P63" s="177" t="s">
        <v>281</v>
      </c>
      <c r="Q63" s="178" t="s">
        <v>41</v>
      </c>
    </row>
    <row r="64" spans="2:18" ht="20.25" thickBot="1" x14ac:dyDescent="0.35">
      <c r="B64" s="161" t="s">
        <v>282</v>
      </c>
      <c r="C64" s="172"/>
      <c r="D64" s="181"/>
      <c r="E64" s="181"/>
      <c r="F64" s="175"/>
      <c r="G64" s="175"/>
      <c r="H64" s="175"/>
      <c r="I64" s="175"/>
      <c r="J64" s="175"/>
      <c r="K64" s="175"/>
      <c r="L64" s="38"/>
      <c r="M64" s="38"/>
      <c r="N64" s="38"/>
      <c r="O64" s="38"/>
      <c r="P64" s="40"/>
      <c r="Q64" s="40"/>
    </row>
    <row r="65" spans="2:18" ht="15.75" thickTop="1" x14ac:dyDescent="0.25">
      <c r="B65" s="179" t="s">
        <v>88</v>
      </c>
      <c r="C65" s="180">
        <v>11889000</v>
      </c>
      <c r="D65" s="182"/>
      <c r="E65" s="189"/>
      <c r="F65" s="181"/>
      <c r="G65" s="181"/>
      <c r="H65" s="181">
        <f>ROUND((+E65+D65+C65)/1000,0)</f>
        <v>11889</v>
      </c>
      <c r="I65" s="181"/>
      <c r="J65" s="181"/>
      <c r="K65" s="181"/>
      <c r="L65" s="183"/>
      <c r="M65" s="183"/>
      <c r="N65" s="183"/>
      <c r="O65" s="183"/>
      <c r="P65" s="39">
        <v>117</v>
      </c>
      <c r="Q65" s="38">
        <f>+P65+H65</f>
        <v>12006</v>
      </c>
    </row>
    <row r="66" spans="2:18" x14ac:dyDescent="0.25">
      <c r="B66" s="171" t="s">
        <v>42</v>
      </c>
      <c r="C66" s="184">
        <f>121833+374236*0.22</f>
        <v>204164.91999999998</v>
      </c>
      <c r="D66" s="184">
        <f>+C61*(C66/(C66+C71))</f>
        <v>0</v>
      </c>
      <c r="E66" s="190"/>
      <c r="F66" s="182"/>
      <c r="G66" s="182"/>
      <c r="H66" s="181">
        <f>ROUND((+E66+D66+C66)/1000,0)</f>
        <v>204</v>
      </c>
      <c r="I66" s="182"/>
      <c r="J66" s="182"/>
      <c r="K66" s="182"/>
      <c r="L66" s="186"/>
      <c r="M66" s="186"/>
      <c r="N66" s="186"/>
      <c r="O66" s="186" t="e">
        <f>+#REF!</f>
        <v>#REF!</v>
      </c>
      <c r="P66" s="39">
        <v>19</v>
      </c>
      <c r="Q66" s="38">
        <f>ROUND(+P66+H66,0)</f>
        <v>223</v>
      </c>
    </row>
    <row r="67" spans="2:18" x14ac:dyDescent="0.25">
      <c r="B67" s="165" t="s">
        <v>93</v>
      </c>
      <c r="C67" s="38">
        <v>3959335</v>
      </c>
      <c r="D67" s="175">
        <v>99451.407910567854</v>
      </c>
      <c r="E67" s="190"/>
      <c r="F67" s="175"/>
      <c r="G67" s="175"/>
      <c r="H67" s="181">
        <f>ROUND((+E67+D67+C67)/1000,0)</f>
        <v>4059</v>
      </c>
      <c r="I67" s="175"/>
      <c r="J67" s="175"/>
      <c r="K67" s="175"/>
      <c r="L67" s="38"/>
      <c r="M67" s="38"/>
      <c r="N67" s="38"/>
      <c r="O67" s="38"/>
      <c r="P67" s="39">
        <v>57</v>
      </c>
      <c r="Q67" s="38">
        <f>ROUND(+P67+H67,0)</f>
        <v>4116</v>
      </c>
    </row>
    <row r="68" spans="2:18" x14ac:dyDescent="0.25">
      <c r="C68" s="38"/>
      <c r="D68" s="175"/>
      <c r="E68" s="173"/>
      <c r="F68" s="175"/>
      <c r="G68" s="175"/>
      <c r="H68" s="175"/>
      <c r="I68" s="175"/>
      <c r="J68" s="175"/>
      <c r="K68" s="175"/>
      <c r="L68" s="38"/>
      <c r="M68" s="38"/>
      <c r="N68" s="38"/>
      <c r="O68" s="38"/>
      <c r="Q68" s="38"/>
    </row>
    <row r="69" spans="2:18" ht="20.25" thickBot="1" x14ac:dyDescent="0.35">
      <c r="B69" s="161" t="s">
        <v>284</v>
      </c>
      <c r="C69" s="38"/>
      <c r="D69" s="175"/>
      <c r="E69" s="173"/>
      <c r="F69" s="175"/>
      <c r="G69" s="175"/>
      <c r="H69" s="175"/>
      <c r="I69" s="175"/>
      <c r="J69" s="175"/>
      <c r="K69" s="175"/>
      <c r="L69" s="38"/>
      <c r="M69" s="38"/>
      <c r="N69" s="38"/>
      <c r="O69" s="38"/>
      <c r="Q69" s="38"/>
      <c r="R69" s="39"/>
    </row>
    <row r="70" spans="2:18" ht="15.75" thickTop="1" x14ac:dyDescent="0.25">
      <c r="B70" s="165" t="s">
        <v>87</v>
      </c>
      <c r="C70" s="38">
        <v>6333121</v>
      </c>
      <c r="D70" s="175">
        <v>159076.66310579513</v>
      </c>
      <c r="E70" s="173"/>
      <c r="F70" s="175"/>
      <c r="G70" s="175"/>
      <c r="H70" s="181">
        <f>ROUND((+E70+D70+C70)/1000,0)</f>
        <v>6492</v>
      </c>
      <c r="I70" s="175"/>
      <c r="J70" s="175"/>
      <c r="K70" s="175"/>
      <c r="L70" s="38"/>
      <c r="M70" s="38"/>
      <c r="N70" s="38"/>
      <c r="O70" s="38"/>
      <c r="P70" s="39">
        <v>91</v>
      </c>
      <c r="Q70" s="38">
        <f>ROUND(P70/1000,0)+H70</f>
        <v>6492</v>
      </c>
    </row>
    <row r="71" spans="2:18" x14ac:dyDescent="0.25">
      <c r="B71" s="164" t="s">
        <v>42</v>
      </c>
      <c r="C71" s="38">
        <f>428085+374236*0.78</f>
        <v>719989.08000000007</v>
      </c>
      <c r="D71" s="184">
        <v>0</v>
      </c>
      <c r="E71" s="173"/>
      <c r="F71" s="175"/>
      <c r="G71" s="175"/>
      <c r="H71" s="181">
        <f>ROUND((+E71+D71+C71)/1000,0)</f>
        <v>720</v>
      </c>
      <c r="I71" s="175"/>
      <c r="J71" s="175"/>
      <c r="K71" s="175"/>
      <c r="L71" s="38"/>
      <c r="M71" s="38"/>
      <c r="N71" s="38"/>
      <c r="O71" s="38"/>
      <c r="P71" s="39">
        <v>74</v>
      </c>
      <c r="Q71" s="38">
        <f>ROUND(+P71+H71,0)</f>
        <v>794</v>
      </c>
    </row>
    <row r="72" spans="2:18" x14ac:dyDescent="0.25">
      <c r="B72" s="164" t="s">
        <v>94</v>
      </c>
      <c r="C72" s="38">
        <v>1093427</v>
      </c>
      <c r="D72" s="175">
        <v>27464.928983637019</v>
      </c>
      <c r="E72" s="190"/>
      <c r="F72" s="175"/>
      <c r="G72" s="175"/>
      <c r="H72" s="181">
        <f>ROUND((+E72+D72+C72)/1000,0)</f>
        <v>1121</v>
      </c>
      <c r="I72" s="175"/>
      <c r="J72" s="175"/>
      <c r="K72" s="175"/>
      <c r="L72" s="38"/>
      <c r="M72" s="38"/>
      <c r="N72" s="38"/>
      <c r="O72" s="38"/>
      <c r="P72" s="39">
        <v>17</v>
      </c>
      <c r="Q72" s="38">
        <f>ROUND(P72/1000,0)+H72</f>
        <v>1121</v>
      </c>
    </row>
    <row r="73" spans="2:18" x14ac:dyDescent="0.25">
      <c r="C73" s="38"/>
      <c r="D73" s="175"/>
      <c r="E73" s="173"/>
      <c r="F73" s="175"/>
      <c r="G73" s="175"/>
      <c r="H73" s="175"/>
      <c r="I73" s="175"/>
      <c r="J73" s="175"/>
      <c r="K73" s="175"/>
      <c r="L73" s="38"/>
      <c r="M73" s="38"/>
      <c r="N73" s="38"/>
      <c r="O73" s="38"/>
      <c r="Q73" s="38"/>
      <c r="R73" s="39"/>
    </row>
    <row r="74" spans="2:18" ht="20.25" thickBot="1" x14ac:dyDescent="0.35">
      <c r="B74" s="161" t="s">
        <v>90</v>
      </c>
      <c r="C74" s="38"/>
      <c r="D74" s="175"/>
      <c r="E74" s="190"/>
      <c r="F74" s="175"/>
      <c r="G74" s="175"/>
      <c r="H74" s="175"/>
      <c r="I74" s="175"/>
      <c r="J74" s="175"/>
      <c r="K74" s="175"/>
      <c r="L74" s="38"/>
      <c r="M74" s="38"/>
      <c r="N74" s="38"/>
      <c r="O74" s="38"/>
      <c r="Q74" s="38"/>
    </row>
    <row r="75" spans="2:18" ht="15.75" thickTop="1" x14ac:dyDescent="0.25">
      <c r="B75" s="211"/>
      <c r="C75" s="212">
        <v>539705</v>
      </c>
      <c r="D75" s="213">
        <v>167295</v>
      </c>
      <c r="E75" s="214"/>
      <c r="F75" s="213"/>
      <c r="G75" s="213"/>
      <c r="H75" s="215">
        <f>ROUND((+E75+D75+C75)/1000,0)</f>
        <v>707</v>
      </c>
      <c r="I75" s="213"/>
      <c r="J75" s="213"/>
      <c r="K75" s="213"/>
      <c r="L75" s="212"/>
      <c r="M75" s="212"/>
      <c r="N75" s="212"/>
      <c r="O75" s="212"/>
      <c r="P75" s="216">
        <v>81</v>
      </c>
      <c r="Q75" s="212">
        <f>+P75+H75</f>
        <v>788</v>
      </c>
    </row>
    <row r="76" spans="2:18" x14ac:dyDescent="0.25">
      <c r="C76" s="38"/>
      <c r="D76" s="175"/>
      <c r="E76" s="173"/>
      <c r="F76" s="175"/>
      <c r="G76" s="175"/>
      <c r="H76" s="175"/>
      <c r="I76" s="175"/>
      <c r="J76" s="175"/>
      <c r="K76" s="175"/>
      <c r="L76" s="38"/>
      <c r="M76" s="38"/>
      <c r="N76" s="38"/>
      <c r="O76" s="38"/>
      <c r="Q76" s="38"/>
    </row>
    <row r="77" spans="2:18" ht="20.25" thickBot="1" x14ac:dyDescent="0.35">
      <c r="B77" s="161" t="s">
        <v>91</v>
      </c>
      <c r="C77" s="38"/>
      <c r="D77" s="175"/>
      <c r="E77" s="190"/>
      <c r="F77" s="175"/>
      <c r="G77" s="175"/>
      <c r="H77" s="181"/>
      <c r="I77" s="175"/>
      <c r="J77" s="175"/>
      <c r="K77" s="175"/>
      <c r="L77" s="38"/>
      <c r="M77" s="38"/>
      <c r="N77" s="38"/>
      <c r="O77" s="38"/>
      <c r="P77" s="39"/>
      <c r="Q77" s="38"/>
    </row>
    <row r="78" spans="2:18" ht="15.75" thickTop="1" x14ac:dyDescent="0.25">
      <c r="C78" s="38">
        <v>167200</v>
      </c>
      <c r="D78" s="175">
        <v>120909</v>
      </c>
      <c r="E78" s="173"/>
      <c r="F78" s="175"/>
      <c r="G78" s="175"/>
      <c r="H78" s="181">
        <f>ROUND((+E78+D78+C78)/1000,0)</f>
        <v>288</v>
      </c>
      <c r="I78" s="175"/>
      <c r="J78" s="175"/>
      <c r="K78" s="175"/>
      <c r="L78" s="38"/>
      <c r="M78" s="38"/>
      <c r="N78" s="38"/>
      <c r="O78" s="38"/>
      <c r="P78">
        <v>78</v>
      </c>
      <c r="Q78" s="38">
        <f>+P78+H78</f>
        <v>366</v>
      </c>
    </row>
    <row r="79" spans="2:18" ht="20.25" thickBot="1" x14ac:dyDescent="0.35">
      <c r="B79" s="161" t="s">
        <v>287</v>
      </c>
      <c r="C79" s="38"/>
      <c r="D79" s="175"/>
      <c r="E79" s="173"/>
      <c r="F79" s="175"/>
      <c r="G79" s="175"/>
      <c r="H79" s="181"/>
      <c r="I79" s="175"/>
      <c r="J79" s="175"/>
      <c r="K79" s="175"/>
      <c r="L79" s="38"/>
      <c r="M79" s="38"/>
      <c r="N79" s="38"/>
      <c r="O79" s="38"/>
      <c r="Q79" s="38"/>
    </row>
    <row r="80" spans="2:18" ht="15.75" thickTop="1" x14ac:dyDescent="0.25">
      <c r="C80" s="38"/>
      <c r="D80" s="175"/>
      <c r="E80" s="175"/>
      <c r="F80" s="175"/>
      <c r="G80" s="175"/>
      <c r="H80" s="175"/>
      <c r="I80" s="175"/>
      <c r="J80" s="175"/>
      <c r="K80" s="175"/>
      <c r="L80" s="38"/>
      <c r="M80" s="38"/>
      <c r="N80" s="38"/>
      <c r="O80" s="38"/>
      <c r="Q80" s="38"/>
    </row>
    <row r="81" spans="2:17" x14ac:dyDescent="0.25">
      <c r="B81" s="188" t="s">
        <v>13</v>
      </c>
      <c r="C81" s="38">
        <f>SUM(C65:C79)</f>
        <v>24905942</v>
      </c>
      <c r="D81" s="38">
        <f>SUM(D65:D79)</f>
        <v>574197</v>
      </c>
      <c r="E81" s="40">
        <f>SUM(E65:E79)</f>
        <v>0</v>
      </c>
      <c r="F81" s="175"/>
      <c r="G81" s="175"/>
      <c r="H81" s="38">
        <f>SUM(H65:H79)</f>
        <v>25480</v>
      </c>
      <c r="I81" s="175"/>
      <c r="J81" s="175"/>
      <c r="K81" s="175"/>
      <c r="L81" s="38"/>
      <c r="M81" s="38"/>
      <c r="N81" s="38"/>
      <c r="O81" s="38"/>
      <c r="P81" s="38">
        <f>SUM(P65:P79)</f>
        <v>534</v>
      </c>
      <c r="Q81" s="40">
        <f>SUM(Q65:Q79)</f>
        <v>25906</v>
      </c>
    </row>
    <row r="82" spans="2:17" x14ac:dyDescent="0.25">
      <c r="C82" s="38"/>
      <c r="D82" s="185"/>
      <c r="E82" s="175"/>
      <c r="F82" s="175"/>
      <c r="G82" s="175"/>
      <c r="H82" s="175"/>
      <c r="I82" s="175"/>
      <c r="J82" s="175"/>
      <c r="K82" s="175"/>
      <c r="L82" s="38"/>
      <c r="M82" s="38"/>
      <c r="N82" s="38"/>
      <c r="O82" s="38"/>
      <c r="Q82" s="38"/>
    </row>
    <row r="83" spans="2:17" x14ac:dyDescent="0.25">
      <c r="B83" s="188" t="s">
        <v>92</v>
      </c>
      <c r="C83" s="38">
        <v>3284000</v>
      </c>
      <c r="D83" s="175"/>
      <c r="E83" s="175"/>
      <c r="F83" s="175"/>
      <c r="G83" s="175"/>
      <c r="H83" s="181">
        <f>3034-100</f>
        <v>2934</v>
      </c>
      <c r="I83" s="175"/>
      <c r="J83" s="175"/>
      <c r="K83" s="175"/>
      <c r="L83" s="38"/>
      <c r="M83" s="38"/>
      <c r="N83" s="38"/>
      <c r="O83" s="38"/>
      <c r="P83" s="39">
        <f>1350-P81</f>
        <v>816</v>
      </c>
      <c r="Q83" s="38">
        <f>+P83+H83</f>
        <v>3750</v>
      </c>
    </row>
    <row r="84" spans="2:17" x14ac:dyDescent="0.25">
      <c r="C84" s="38"/>
      <c r="D84" s="175"/>
      <c r="E84" s="175"/>
      <c r="F84" s="175"/>
      <c r="G84" s="175"/>
      <c r="H84" s="175"/>
      <c r="I84" s="175"/>
      <c r="J84" s="175"/>
      <c r="K84" s="175"/>
      <c r="L84" s="38"/>
      <c r="M84" s="38"/>
      <c r="N84" s="38"/>
      <c r="O84" s="38"/>
      <c r="Q84" s="38"/>
    </row>
    <row r="85" spans="2:17" x14ac:dyDescent="0.25">
      <c r="C85" s="38"/>
      <c r="D85" s="185"/>
      <c r="E85" s="175"/>
      <c r="F85" s="175"/>
      <c r="G85" s="175"/>
      <c r="H85" s="175"/>
      <c r="I85" s="175"/>
      <c r="J85" s="175"/>
      <c r="K85" s="175"/>
      <c r="L85" s="38"/>
      <c r="M85" s="38"/>
      <c r="N85" s="38"/>
      <c r="O85" s="38"/>
      <c r="Q85" s="38"/>
    </row>
    <row r="86" spans="2:17" x14ac:dyDescent="0.25">
      <c r="B86" s="188" t="s">
        <v>288</v>
      </c>
      <c r="C86" s="38"/>
      <c r="D86" s="175"/>
      <c r="E86" s="175"/>
      <c r="F86" s="175"/>
      <c r="G86" s="175"/>
      <c r="H86" s="175">
        <f>+H83+H81</f>
        <v>28414</v>
      </c>
      <c r="I86" s="175"/>
      <c r="J86" s="175"/>
      <c r="K86" s="175"/>
      <c r="L86" s="38"/>
      <c r="M86" s="38"/>
      <c r="N86" s="38"/>
      <c r="O86" s="38"/>
      <c r="P86" s="175"/>
      <c r="Q86" s="38">
        <f>+Q83+Q81</f>
        <v>29656</v>
      </c>
    </row>
    <row r="88" spans="2:17" x14ac:dyDescent="0.25">
      <c r="P88" s="39"/>
    </row>
    <row r="90" spans="2:17" ht="22.5" x14ac:dyDescent="0.3">
      <c r="B90" s="160" t="s">
        <v>289</v>
      </c>
      <c r="C90" s="38"/>
      <c r="D90" s="175"/>
      <c r="E90" s="175"/>
      <c r="F90" s="175"/>
      <c r="G90" s="175"/>
      <c r="H90" s="175"/>
      <c r="I90" s="175"/>
      <c r="J90" s="175"/>
      <c r="K90" s="175"/>
      <c r="L90" s="38"/>
      <c r="M90" s="38"/>
      <c r="N90" s="38"/>
      <c r="O90" s="38"/>
      <c r="Q90" s="38"/>
    </row>
    <row r="91" spans="2:17" x14ac:dyDescent="0.25"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Q91" s="38"/>
    </row>
    <row r="92" spans="2:17" ht="15.75" thickBot="1" x14ac:dyDescent="0.3">
      <c r="B92" s="176" t="s">
        <v>283</v>
      </c>
      <c r="C92" s="176" t="s">
        <v>280</v>
      </c>
      <c r="D92" s="177" t="s">
        <v>285</v>
      </c>
      <c r="E92" t="s">
        <v>89</v>
      </c>
      <c r="F92" s="177" t="s">
        <v>35</v>
      </c>
      <c r="G92" s="177" t="s">
        <v>35</v>
      </c>
      <c r="H92" s="187" t="s">
        <v>35</v>
      </c>
      <c r="I92" s="177"/>
      <c r="J92" s="177"/>
      <c r="K92" s="177"/>
      <c r="L92" s="177"/>
      <c r="M92" s="40"/>
      <c r="N92" s="36"/>
      <c r="O92" s="177" t="s">
        <v>281</v>
      </c>
      <c r="P92" s="177" t="s">
        <v>281</v>
      </c>
      <c r="Q92" s="178" t="s">
        <v>41</v>
      </c>
    </row>
    <row r="93" spans="2:17" ht="20.25" thickBot="1" x14ac:dyDescent="0.35">
      <c r="B93" s="161" t="s">
        <v>282</v>
      </c>
      <c r="C93" s="172"/>
      <c r="D93" s="181"/>
      <c r="E93" s="181"/>
      <c r="F93" s="175"/>
      <c r="G93" s="175"/>
      <c r="H93" s="175"/>
      <c r="I93" s="175"/>
      <c r="J93" s="175"/>
      <c r="K93" s="175"/>
      <c r="L93" s="38"/>
      <c r="M93" s="38"/>
      <c r="N93" s="38"/>
      <c r="O93" s="38"/>
      <c r="P93" s="40"/>
      <c r="Q93" s="40"/>
    </row>
    <row r="94" spans="2:17" ht="15.75" thickTop="1" x14ac:dyDescent="0.25">
      <c r="B94" s="179" t="s">
        <v>88</v>
      </c>
      <c r="C94" s="180">
        <v>13815000</v>
      </c>
      <c r="D94" s="182"/>
      <c r="E94" s="189"/>
      <c r="F94" s="181"/>
      <c r="G94" s="181"/>
      <c r="H94" s="181">
        <f>ROUND((+E94+D94+C94)/1000,0)</f>
        <v>13815</v>
      </c>
      <c r="I94" s="181"/>
      <c r="J94" s="181"/>
      <c r="K94" s="181"/>
      <c r="L94" s="183"/>
      <c r="M94" s="183"/>
      <c r="N94" s="183"/>
      <c r="O94" s="183"/>
      <c r="P94" s="39">
        <v>117</v>
      </c>
      <c r="Q94" s="38">
        <f>+P94+H94</f>
        <v>13932</v>
      </c>
    </row>
    <row r="95" spans="2:17" x14ac:dyDescent="0.25">
      <c r="B95" s="171" t="s">
        <v>42</v>
      </c>
      <c r="C95" s="38">
        <v>199822</v>
      </c>
      <c r="D95" s="184">
        <v>23400</v>
      </c>
      <c r="E95" s="190">
        <v>139888.80000000002</v>
      </c>
      <c r="F95" s="182"/>
      <c r="G95" s="182"/>
      <c r="H95" s="181">
        <f>ROUND((+E95+D95+C95)/1000,0)</f>
        <v>363</v>
      </c>
      <c r="I95" s="182"/>
      <c r="J95" s="182"/>
      <c r="K95" s="182"/>
      <c r="L95" s="186"/>
      <c r="M95" s="186"/>
      <c r="N95" s="186"/>
      <c r="O95" s="186" t="e">
        <f>+#REF!</f>
        <v>#REF!</v>
      </c>
      <c r="P95" s="39">
        <v>19</v>
      </c>
      <c r="Q95" s="38">
        <f>+P95+H95</f>
        <v>382</v>
      </c>
    </row>
    <row r="96" spans="2:17" x14ac:dyDescent="0.25">
      <c r="B96" s="165" t="s">
        <v>93</v>
      </c>
      <c r="C96" s="38">
        <v>4566266</v>
      </c>
      <c r="D96" s="175"/>
      <c r="E96" s="190"/>
      <c r="F96" s="175"/>
      <c r="G96" s="175"/>
      <c r="H96" s="181">
        <f>ROUND((+E96+D96+C96)/1000,0)</f>
        <v>4566</v>
      </c>
      <c r="I96" s="175"/>
      <c r="J96" s="175"/>
      <c r="K96" s="175"/>
      <c r="L96" s="38"/>
      <c r="M96" s="38"/>
      <c r="N96" s="38"/>
      <c r="O96" s="38"/>
      <c r="P96" s="39">
        <v>57</v>
      </c>
      <c r="Q96" s="38">
        <f>+P96+H96</f>
        <v>4623</v>
      </c>
    </row>
    <row r="97" spans="2:17" x14ac:dyDescent="0.25">
      <c r="C97" s="38"/>
      <c r="D97" s="175"/>
      <c r="E97" s="173"/>
      <c r="F97" s="175"/>
      <c r="G97" s="175"/>
      <c r="H97" s="175"/>
      <c r="I97" s="175"/>
      <c r="J97" s="175"/>
      <c r="K97" s="175"/>
      <c r="L97" s="38"/>
      <c r="M97" s="38"/>
      <c r="N97" s="38"/>
      <c r="O97" s="38"/>
      <c r="Q97" s="38"/>
    </row>
    <row r="98" spans="2:17" ht="20.25" thickBot="1" x14ac:dyDescent="0.35">
      <c r="B98" s="161" t="s">
        <v>284</v>
      </c>
      <c r="C98" s="38"/>
      <c r="D98" s="175"/>
      <c r="E98" s="173"/>
      <c r="F98" s="175"/>
      <c r="G98" s="175"/>
      <c r="H98" s="175"/>
      <c r="I98" s="175"/>
      <c r="J98" s="175"/>
      <c r="K98" s="175"/>
      <c r="L98" s="38"/>
      <c r="M98" s="38"/>
      <c r="N98" s="38"/>
      <c r="O98" s="38"/>
      <c r="Q98" s="38"/>
    </row>
    <row r="99" spans="2:17" ht="15.75" thickTop="1" x14ac:dyDescent="0.25">
      <c r="B99" s="165" t="s">
        <v>87</v>
      </c>
      <c r="C99" s="38">
        <v>6527229</v>
      </c>
      <c r="D99" s="175"/>
      <c r="E99" s="173"/>
      <c r="F99" s="175"/>
      <c r="G99" s="175"/>
      <c r="H99" s="181">
        <f>ROUND((+E99+D99+C99)/1000,0)</f>
        <v>6527</v>
      </c>
      <c r="I99" s="175"/>
      <c r="J99" s="175"/>
      <c r="K99" s="175"/>
      <c r="L99" s="38"/>
      <c r="M99" s="38"/>
      <c r="N99" s="38"/>
      <c r="O99" s="38"/>
      <c r="P99" s="39">
        <v>91</v>
      </c>
      <c r="Q99" s="38">
        <f>+P99+H99</f>
        <v>6618</v>
      </c>
    </row>
    <row r="100" spans="2:17" x14ac:dyDescent="0.25">
      <c r="B100" s="164" t="s">
        <v>42</v>
      </c>
      <c r="C100" s="38">
        <v>695734</v>
      </c>
      <c r="D100" s="184">
        <v>93600</v>
      </c>
      <c r="E100" s="173">
        <v>559555.20000000007</v>
      </c>
      <c r="F100" s="175"/>
      <c r="G100" s="175"/>
      <c r="H100" s="181">
        <f>ROUND((+E100+D100+C100)/1000,0)</f>
        <v>1349</v>
      </c>
      <c r="I100" s="175"/>
      <c r="J100" s="175"/>
      <c r="K100" s="175"/>
      <c r="L100" s="38"/>
      <c r="M100" s="38"/>
      <c r="N100" s="38"/>
      <c r="O100" s="38"/>
      <c r="P100" s="39">
        <v>74</v>
      </c>
      <c r="Q100" s="38">
        <f>+P100+H100</f>
        <v>1423</v>
      </c>
    </row>
    <row r="101" spans="2:17" x14ac:dyDescent="0.25">
      <c r="B101" s="164" t="s">
        <v>94</v>
      </c>
      <c r="C101" s="38">
        <v>158000</v>
      </c>
      <c r="D101" s="175"/>
      <c r="E101" s="190"/>
      <c r="F101" s="175"/>
      <c r="G101" s="175"/>
      <c r="H101" s="181">
        <f>ROUND((+E101+D101+C101)/1000,0)</f>
        <v>158</v>
      </c>
      <c r="I101" s="175"/>
      <c r="J101" s="175"/>
      <c r="K101" s="175"/>
      <c r="L101" s="38"/>
      <c r="M101" s="38"/>
      <c r="N101" s="38"/>
      <c r="O101" s="38"/>
      <c r="P101" s="39">
        <v>17</v>
      </c>
      <c r="Q101" s="38">
        <f>+P101+H101</f>
        <v>175</v>
      </c>
    </row>
    <row r="102" spans="2:17" x14ac:dyDescent="0.25">
      <c r="C102" s="38"/>
      <c r="D102" s="175"/>
      <c r="E102" s="173"/>
      <c r="F102" s="175"/>
      <c r="G102" s="175"/>
      <c r="H102" s="175"/>
      <c r="I102" s="175"/>
      <c r="J102" s="175"/>
      <c r="K102" s="175"/>
      <c r="L102" s="38"/>
      <c r="M102" s="38"/>
      <c r="N102" s="38"/>
      <c r="O102" s="38"/>
      <c r="Q102" s="38"/>
    </row>
    <row r="103" spans="2:17" ht="20.25" thickBot="1" x14ac:dyDescent="0.35">
      <c r="B103" s="161" t="s">
        <v>90</v>
      </c>
      <c r="C103" s="38"/>
      <c r="D103" s="175"/>
      <c r="E103" s="190"/>
      <c r="F103" s="175"/>
      <c r="G103" s="175"/>
      <c r="H103" s="175"/>
      <c r="I103" s="175"/>
      <c r="J103" s="175"/>
      <c r="K103" s="175"/>
      <c r="L103" s="38"/>
      <c r="M103" s="38"/>
      <c r="N103" s="38"/>
      <c r="O103" s="38"/>
      <c r="Q103" s="38"/>
    </row>
    <row r="104" spans="2:17" ht="15.75" thickTop="1" x14ac:dyDescent="0.25">
      <c r="C104" s="38">
        <v>568680</v>
      </c>
      <c r="D104" s="175">
        <v>145320</v>
      </c>
      <c r="E104" s="173"/>
      <c r="F104" s="175"/>
      <c r="G104" s="175"/>
      <c r="H104" s="181">
        <f>ROUND((+E104+D104+C104)/1000,0)</f>
        <v>714</v>
      </c>
      <c r="I104" s="175"/>
      <c r="J104" s="175"/>
      <c r="K104" s="175"/>
      <c r="L104" s="38"/>
      <c r="M104" s="38"/>
      <c r="N104" s="38"/>
      <c r="O104" s="38"/>
      <c r="P104" s="39">
        <v>81</v>
      </c>
      <c r="Q104" s="38">
        <f>+P104+H104</f>
        <v>795</v>
      </c>
    </row>
    <row r="105" spans="2:17" x14ac:dyDescent="0.25">
      <c r="C105" s="38"/>
      <c r="D105" s="175"/>
      <c r="E105" s="173"/>
      <c r="F105" s="175"/>
      <c r="G105" s="175"/>
      <c r="H105" s="175"/>
      <c r="I105" s="175"/>
      <c r="J105" s="175"/>
      <c r="K105" s="175"/>
      <c r="L105" s="38"/>
      <c r="M105" s="38"/>
      <c r="N105" s="38"/>
      <c r="O105" s="38"/>
      <c r="Q105" s="38"/>
    </row>
    <row r="106" spans="2:17" ht="20.25" thickBot="1" x14ac:dyDescent="0.35">
      <c r="B106" s="161" t="s">
        <v>91</v>
      </c>
      <c r="C106" s="38"/>
      <c r="D106" s="175"/>
      <c r="E106" s="190"/>
      <c r="F106" s="175"/>
      <c r="G106" s="175"/>
      <c r="H106" s="181"/>
      <c r="I106" s="175"/>
      <c r="J106" s="175"/>
      <c r="K106" s="175"/>
      <c r="L106" s="38"/>
      <c r="M106" s="38"/>
      <c r="N106" s="38"/>
      <c r="O106" s="38"/>
      <c r="P106" s="39"/>
      <c r="Q106" s="38"/>
    </row>
    <row r="107" spans="2:17" ht="15.75" thickTop="1" x14ac:dyDescent="0.25">
      <c r="C107" s="38">
        <v>204525</v>
      </c>
      <c r="D107" s="175">
        <v>145475</v>
      </c>
      <c r="E107" s="173"/>
      <c r="F107" s="175"/>
      <c r="G107" s="175"/>
      <c r="H107" s="181">
        <f>ROUND((+E107+D107+C107)/1000,0)</f>
        <v>350</v>
      </c>
      <c r="I107" s="175"/>
      <c r="J107" s="175"/>
      <c r="K107" s="175"/>
      <c r="L107" s="38"/>
      <c r="M107" s="38"/>
      <c r="N107" s="38"/>
      <c r="O107" s="38"/>
      <c r="P107">
        <v>78</v>
      </c>
      <c r="Q107" s="38">
        <f>+P107+H107</f>
        <v>428</v>
      </c>
    </row>
    <row r="108" spans="2:17" ht="20.25" thickBot="1" x14ac:dyDescent="0.35">
      <c r="B108" s="161" t="s">
        <v>287</v>
      </c>
      <c r="C108" s="38"/>
      <c r="D108" s="175"/>
      <c r="E108" s="173"/>
      <c r="F108" s="175"/>
      <c r="G108" s="175"/>
      <c r="H108" s="181"/>
      <c r="I108" s="175"/>
      <c r="J108" s="175"/>
      <c r="K108" s="175"/>
      <c r="L108" s="38"/>
      <c r="M108" s="38"/>
      <c r="N108" s="38"/>
      <c r="O108" s="38"/>
      <c r="Q108" s="38"/>
    </row>
    <row r="109" spans="2:17" ht="15.75" thickTop="1" x14ac:dyDescent="0.25">
      <c r="C109" s="38"/>
      <c r="D109" s="175"/>
      <c r="E109" s="175"/>
      <c r="F109" s="175"/>
      <c r="G109" s="175"/>
      <c r="H109" s="175"/>
      <c r="I109" s="175"/>
      <c r="J109" s="175"/>
      <c r="K109" s="175"/>
      <c r="L109" s="38"/>
      <c r="M109" s="38"/>
      <c r="N109" s="38"/>
      <c r="O109" s="38"/>
      <c r="Q109" s="38"/>
    </row>
    <row r="110" spans="2:17" x14ac:dyDescent="0.25">
      <c r="B110" s="188" t="s">
        <v>13</v>
      </c>
      <c r="C110" s="38">
        <f>SUM(C94:C108)</f>
        <v>26735256</v>
      </c>
      <c r="D110" s="38">
        <f>SUM(D94:D108)</f>
        <v>407795</v>
      </c>
      <c r="E110" s="40">
        <f>SUM(E94:E108)</f>
        <v>699444.00000000012</v>
      </c>
      <c r="F110" s="175"/>
      <c r="G110" s="175"/>
      <c r="H110" s="38">
        <f>SUM(H94:H108)</f>
        <v>27842</v>
      </c>
      <c r="I110" s="175"/>
      <c r="J110" s="175"/>
      <c r="K110" s="175"/>
      <c r="L110" s="38"/>
      <c r="M110" s="38"/>
      <c r="N110" s="38"/>
      <c r="O110" s="38"/>
      <c r="P110" s="38">
        <f>SUM(P94:P108)</f>
        <v>534</v>
      </c>
      <c r="Q110" s="38">
        <f>+P110+H110</f>
        <v>28376</v>
      </c>
    </row>
    <row r="111" spans="2:17" x14ac:dyDescent="0.25">
      <c r="C111" s="38"/>
      <c r="D111" s="185"/>
      <c r="E111" s="175"/>
      <c r="F111" s="175"/>
      <c r="G111" s="175"/>
      <c r="H111" s="175"/>
      <c r="I111" s="175"/>
      <c r="J111" s="175"/>
      <c r="K111" s="175"/>
      <c r="L111" s="38"/>
      <c r="M111" s="38"/>
      <c r="N111" s="38"/>
      <c r="O111" s="38"/>
      <c r="Q111" s="38"/>
    </row>
    <row r="112" spans="2:17" x14ac:dyDescent="0.25">
      <c r="B112" s="188" t="s">
        <v>92</v>
      </c>
      <c r="C112" s="38">
        <v>3695000</v>
      </c>
      <c r="D112" s="175"/>
      <c r="E112" s="175"/>
      <c r="F112" s="175"/>
      <c r="G112" s="175"/>
      <c r="H112" s="181">
        <f>ROUND((+E112+D112+C112)/1000,0)</f>
        <v>3695</v>
      </c>
      <c r="I112" s="175"/>
      <c r="J112" s="175"/>
      <c r="K112" s="175"/>
      <c r="L112" s="38"/>
      <c r="M112" s="38"/>
      <c r="N112" s="38"/>
      <c r="O112" s="38"/>
      <c r="P112" s="39">
        <f>1350-P110</f>
        <v>816</v>
      </c>
      <c r="Q112" s="38">
        <f>+P112+H112</f>
        <v>4511</v>
      </c>
    </row>
    <row r="113" spans="2:17" x14ac:dyDescent="0.25">
      <c r="C113" s="38"/>
      <c r="D113" s="175"/>
      <c r="E113" s="175"/>
      <c r="F113" s="175"/>
      <c r="G113" s="175"/>
      <c r="H113" s="175"/>
      <c r="I113" s="175"/>
      <c r="J113" s="175"/>
      <c r="K113" s="175"/>
      <c r="L113" s="38"/>
      <c r="M113" s="38"/>
      <c r="N113" s="38"/>
      <c r="O113" s="38"/>
      <c r="Q113" s="38"/>
    </row>
    <row r="114" spans="2:17" x14ac:dyDescent="0.25">
      <c r="C114" s="38"/>
      <c r="D114" s="185"/>
      <c r="E114" s="175"/>
      <c r="F114" s="175"/>
      <c r="G114" s="175"/>
      <c r="H114" s="175"/>
      <c r="I114" s="175"/>
      <c r="J114" s="175"/>
      <c r="K114" s="175"/>
      <c r="L114" s="38"/>
      <c r="M114" s="38"/>
      <c r="N114" s="38"/>
      <c r="O114" s="38"/>
      <c r="Q114" s="38"/>
    </row>
    <row r="115" spans="2:17" x14ac:dyDescent="0.25">
      <c r="B115" s="188" t="s">
        <v>288</v>
      </c>
      <c r="C115" s="38">
        <f>+C112+C110</f>
        <v>30430256</v>
      </c>
      <c r="D115" s="38">
        <f>+D112+D110</f>
        <v>407795</v>
      </c>
      <c r="E115" s="38">
        <f>+E112+E110</f>
        <v>699444.00000000012</v>
      </c>
      <c r="F115" s="175"/>
      <c r="G115" s="175"/>
      <c r="H115" s="38">
        <f>+H112+H110</f>
        <v>31537</v>
      </c>
      <c r="I115" s="175"/>
      <c r="J115" s="175"/>
      <c r="K115" s="175"/>
      <c r="L115" s="38"/>
      <c r="M115" s="38"/>
      <c r="N115" s="38"/>
      <c r="O115" s="38"/>
      <c r="P115" s="38">
        <f>+P112+P110</f>
        <v>1350</v>
      </c>
      <c r="Q115" s="38">
        <f>+P115+H115</f>
        <v>32887</v>
      </c>
    </row>
    <row r="116" spans="2:17" x14ac:dyDescent="0.25">
      <c r="H116" s="39"/>
    </row>
    <row r="117" spans="2:17" x14ac:dyDescent="0.25">
      <c r="H117" s="39"/>
    </row>
    <row r="118" spans="2:17" x14ac:dyDescent="0.25">
      <c r="H118" s="39"/>
    </row>
    <row r="119" spans="2:17" x14ac:dyDescent="0.25">
      <c r="Q119" s="39"/>
    </row>
    <row r="121" spans="2:17" x14ac:dyDescent="0.25">
      <c r="H121" s="38"/>
    </row>
    <row r="122" spans="2:17" x14ac:dyDescent="0.25">
      <c r="H122" s="39"/>
    </row>
    <row r="123" spans="2:17" x14ac:dyDescent="0.25">
      <c r="H123" s="39"/>
    </row>
  </sheetData>
  <mergeCells count="8">
    <mergeCell ref="J4:K5"/>
    <mergeCell ref="M5:R5"/>
    <mergeCell ref="B4:B5"/>
    <mergeCell ref="C4:C5"/>
    <mergeCell ref="D4:D5"/>
    <mergeCell ref="E4:E5"/>
    <mergeCell ref="F4:G5"/>
    <mergeCell ref="H4:I5"/>
  </mergeCells>
  <pageMargins left="0.70866141732283472" right="0.70866141732283472" top="0.74803149606299213" bottom="0.74803149606299213" header="0.31496062992125984" footer="0.31496062992125984"/>
  <pageSetup scale="26" orientation="landscape" r:id="rId1"/>
  <ignoredErrors>
    <ignoredError sqref="E15:E28 G19 H15:H19 G24 G27 G10:H10" formula="1"/>
    <ignoredError sqref="F18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3:P33"/>
  <sheetViews>
    <sheetView topLeftCell="A3" zoomScale="70" zoomScaleNormal="70" workbookViewId="0">
      <selection activeCell="M18" sqref="M18"/>
    </sheetView>
  </sheetViews>
  <sheetFormatPr baseColWidth="10" defaultRowHeight="15" x14ac:dyDescent="0.25"/>
  <cols>
    <col min="2" max="2" width="37.42578125" customWidth="1"/>
    <col min="3" max="3" width="13.140625" customWidth="1"/>
    <col min="5" max="5" width="13.7109375" style="40" customWidth="1"/>
    <col min="7" max="7" width="16" customWidth="1"/>
    <col min="8" max="8" width="9.85546875" customWidth="1"/>
    <col min="9" max="9" width="10.85546875" customWidth="1"/>
    <col min="10" max="10" width="7.28515625" customWidth="1"/>
    <col min="11" max="11" width="17" hidden="1" customWidth="1"/>
    <col min="14" max="14" width="51.140625" customWidth="1"/>
    <col min="15" max="15" width="16.7109375" customWidth="1"/>
    <col min="16" max="16" width="18.28515625" customWidth="1"/>
  </cols>
  <sheetData>
    <row r="3" spans="2:16" ht="15.75" thickBot="1" x14ac:dyDescent="0.3"/>
    <row r="4" spans="2:16" ht="26.45" customHeight="1" thickBot="1" x14ac:dyDescent="0.3">
      <c r="B4" s="516" t="s">
        <v>0</v>
      </c>
      <c r="C4" s="518">
        <v>2013</v>
      </c>
      <c r="D4" s="519"/>
      <c r="E4" s="519"/>
      <c r="F4" s="519"/>
      <c r="G4" s="518">
        <v>2014</v>
      </c>
      <c r="H4" s="519"/>
      <c r="I4" s="519"/>
      <c r="J4" s="519"/>
      <c r="K4" s="520" t="s">
        <v>333</v>
      </c>
    </row>
    <row r="5" spans="2:16" ht="32.450000000000003" customHeight="1" x14ac:dyDescent="0.25">
      <c r="B5" s="517"/>
      <c r="C5" s="522" t="s">
        <v>339</v>
      </c>
      <c r="D5" s="523"/>
      <c r="E5" s="522" t="s">
        <v>336</v>
      </c>
      <c r="F5" s="523"/>
      <c r="G5" s="524" t="s">
        <v>339</v>
      </c>
      <c r="H5" s="525"/>
      <c r="I5" s="524" t="s">
        <v>336</v>
      </c>
      <c r="J5" s="525"/>
      <c r="K5" s="521"/>
    </row>
    <row r="6" spans="2:16" ht="17.25" thickBot="1" x14ac:dyDescent="0.3">
      <c r="B6" s="116" t="s">
        <v>2</v>
      </c>
      <c r="C6" s="223"/>
      <c r="D6" s="2"/>
      <c r="E6" s="284"/>
      <c r="F6" s="2"/>
      <c r="G6" s="206"/>
      <c r="H6" s="206"/>
      <c r="I6" s="206"/>
      <c r="J6" s="206"/>
      <c r="K6" s="285"/>
    </row>
    <row r="7" spans="2:16" ht="24" thickBot="1" x14ac:dyDescent="0.3">
      <c r="B7" s="116" t="s">
        <v>3</v>
      </c>
      <c r="C7" s="41">
        <f>+O9/1000</f>
        <v>25135</v>
      </c>
      <c r="D7" s="286">
        <f>+C7/$C$11</f>
        <v>0.79433049963657054</v>
      </c>
      <c r="E7" s="287">
        <f>+P9/1000</f>
        <v>25576.478999999999</v>
      </c>
      <c r="F7" s="286">
        <f>+E7/C7</f>
        <v>1.0175643127113587</v>
      </c>
      <c r="G7" s="41">
        <v>26400</v>
      </c>
      <c r="H7" s="286">
        <f>+G7/$C$11</f>
        <v>0.83430774578895806</v>
      </c>
      <c r="I7" s="41">
        <v>26966</v>
      </c>
      <c r="J7" s="286">
        <f>+(I7/G7)</f>
        <v>1.021439393939394</v>
      </c>
      <c r="K7" s="41">
        <v>28000</v>
      </c>
      <c r="N7" s="288"/>
      <c r="O7" s="510" t="s">
        <v>340</v>
      </c>
      <c r="P7" s="512" t="s">
        <v>341</v>
      </c>
    </row>
    <row r="8" spans="2:16" ht="20.25" x14ac:dyDescent="0.3">
      <c r="B8" s="116" t="s">
        <v>4</v>
      </c>
      <c r="C8" s="41">
        <f>+O10/1000</f>
        <v>651</v>
      </c>
      <c r="D8" s="286">
        <f>+C8/$C$11</f>
        <v>2.0573270549568624E-2</v>
      </c>
      <c r="E8" s="287">
        <f>+P10/1000</f>
        <v>1646.4159999999999</v>
      </c>
      <c r="F8" s="286">
        <f>+E8/C8</f>
        <v>2.5290568356374807</v>
      </c>
      <c r="G8" s="41">
        <v>1321</v>
      </c>
      <c r="H8" s="286">
        <f>+G8/$C$11</f>
        <v>4.1746989855576275E-2</v>
      </c>
      <c r="I8" s="41">
        <v>1799</v>
      </c>
      <c r="J8" s="286">
        <f>+(I8/G8)</f>
        <v>1.3618470855412566</v>
      </c>
      <c r="K8" s="41">
        <v>1515</v>
      </c>
      <c r="N8" s="289" t="s">
        <v>2</v>
      </c>
      <c r="O8" s="511"/>
      <c r="P8" s="513"/>
    </row>
    <row r="9" spans="2:16" ht="16.5" x14ac:dyDescent="0.25">
      <c r="B9" s="119" t="s">
        <v>5</v>
      </c>
      <c r="C9" s="43">
        <f>+C8+C7</f>
        <v>25786</v>
      </c>
      <c r="D9" s="290">
        <f>+C9/C11</f>
        <v>0.81490377018613913</v>
      </c>
      <c r="E9" s="43">
        <f>+E8+E7</f>
        <v>27222.895</v>
      </c>
      <c r="F9" s="291">
        <f>+E9/C9</f>
        <v>1.0557238423950981</v>
      </c>
      <c r="G9" s="43">
        <f>+G8+G7</f>
        <v>27721</v>
      </c>
      <c r="H9" s="290">
        <f>+G9/G11</f>
        <v>0.81065036846414784</v>
      </c>
      <c r="I9" s="43">
        <f>+I8+I7</f>
        <v>28765</v>
      </c>
      <c r="J9" s="151">
        <f>+I9/G9</f>
        <v>1.0376609790411602</v>
      </c>
      <c r="K9" s="80">
        <f>+K8+K7</f>
        <v>29515</v>
      </c>
      <c r="N9" s="292" t="s">
        <v>3</v>
      </c>
      <c r="O9" s="293">
        <v>25135000</v>
      </c>
      <c r="P9" s="293">
        <v>25576479</v>
      </c>
    </row>
    <row r="10" spans="2:16" ht="16.5" x14ac:dyDescent="0.25">
      <c r="B10" s="121" t="s">
        <v>342</v>
      </c>
      <c r="C10" s="42">
        <v>5857</v>
      </c>
      <c r="D10" s="294">
        <f>+C10/C11</f>
        <v>0.1850962298138609</v>
      </c>
      <c r="E10" s="295">
        <v>347</v>
      </c>
      <c r="F10" s="294">
        <f>+E10/E11</f>
        <v>1.2586192294167242E-2</v>
      </c>
      <c r="G10" s="42">
        <v>6475</v>
      </c>
      <c r="H10" s="294">
        <f>+G10/G11</f>
        <v>0.18934963153585216</v>
      </c>
      <c r="I10" s="42">
        <v>0</v>
      </c>
      <c r="J10" s="61">
        <f>+(I10/G10)</f>
        <v>0</v>
      </c>
      <c r="K10" s="42">
        <v>13925</v>
      </c>
      <c r="N10" s="292" t="s">
        <v>4</v>
      </c>
      <c r="O10" s="293">
        <v>651000</v>
      </c>
      <c r="P10" s="293">
        <v>1646416</v>
      </c>
    </row>
    <row r="11" spans="2:16" ht="18" x14ac:dyDescent="0.25">
      <c r="B11" s="123" t="s">
        <v>7</v>
      </c>
      <c r="C11" s="44">
        <f>+C10+C9</f>
        <v>31643</v>
      </c>
      <c r="D11" s="296">
        <v>1</v>
      </c>
      <c r="E11" s="44">
        <f>+E10+E9</f>
        <v>27569.895</v>
      </c>
      <c r="F11" s="297">
        <f>+E11/C11</f>
        <v>0.87127942988970708</v>
      </c>
      <c r="G11" s="44">
        <f>+G10+G9</f>
        <v>34196</v>
      </c>
      <c r="H11" s="296">
        <v>1</v>
      </c>
      <c r="I11" s="298">
        <f>+I9+I10</f>
        <v>28765</v>
      </c>
      <c r="J11" s="299">
        <f>+I11/G11</f>
        <v>0.84118025500058491</v>
      </c>
      <c r="K11" s="81">
        <f>+K9+K10</f>
        <v>43440</v>
      </c>
      <c r="N11" s="300" t="s">
        <v>343</v>
      </c>
      <c r="O11" s="301">
        <v>7101500</v>
      </c>
      <c r="P11" s="301">
        <v>347478</v>
      </c>
    </row>
    <row r="12" spans="2:16" ht="23.25" x14ac:dyDescent="0.35">
      <c r="B12" s="116" t="s">
        <v>8</v>
      </c>
      <c r="C12" s="302"/>
      <c r="D12" s="209"/>
      <c r="E12" s="303"/>
      <c r="F12" s="209"/>
      <c r="G12" s="302"/>
      <c r="H12" s="209"/>
      <c r="I12" s="302"/>
      <c r="J12" s="209"/>
      <c r="K12" s="302"/>
      <c r="N12" s="304" t="s">
        <v>5</v>
      </c>
      <c r="O12" s="305">
        <v>32887500</v>
      </c>
      <c r="P12" s="305">
        <v>27570373</v>
      </c>
    </row>
    <row r="13" spans="2:16" ht="16.5" x14ac:dyDescent="0.25">
      <c r="B13" s="125" t="s">
        <v>9</v>
      </c>
      <c r="C13" s="33">
        <f>+C19+C24+C26</f>
        <v>31642.505000000001</v>
      </c>
      <c r="D13" s="296">
        <v>1</v>
      </c>
      <c r="E13" s="33">
        <f>+E19+E24+E26</f>
        <v>27569.876999999997</v>
      </c>
      <c r="F13" s="296">
        <f>+E13/C13</f>
        <v>0.87129249090740435</v>
      </c>
      <c r="G13" s="33">
        <f>+G19+G24+G26</f>
        <v>34196</v>
      </c>
      <c r="H13" s="296">
        <v>1</v>
      </c>
      <c r="I13" s="33">
        <f>+I19+I24+I26</f>
        <v>28216</v>
      </c>
      <c r="J13" s="152">
        <f>+I13/G13</f>
        <v>0.82512574570125163</v>
      </c>
      <c r="K13" s="33">
        <f>+K19+K24+K26+K28</f>
        <v>43440</v>
      </c>
      <c r="N13" s="306"/>
      <c r="O13" s="307"/>
      <c r="P13" s="307"/>
    </row>
    <row r="14" spans="2:16" ht="20.25" x14ac:dyDescent="0.3">
      <c r="B14" s="116" t="s">
        <v>329</v>
      </c>
      <c r="C14" s="308"/>
      <c r="D14" s="309"/>
      <c r="E14" s="310"/>
      <c r="F14" s="309"/>
      <c r="G14" s="308"/>
      <c r="H14" s="309"/>
      <c r="I14" s="308"/>
      <c r="J14" s="311"/>
      <c r="K14" s="308"/>
      <c r="N14" s="312" t="s">
        <v>8</v>
      </c>
      <c r="O14" s="307"/>
      <c r="P14" s="307"/>
    </row>
    <row r="15" spans="2:16" ht="23.25" x14ac:dyDescent="0.35">
      <c r="B15" s="116" t="s">
        <v>11</v>
      </c>
      <c r="C15" s="6">
        <f>+O17/1000</f>
        <v>13815</v>
      </c>
      <c r="D15" s="313">
        <f>+C15/$C$13</f>
        <v>0.43659628085703073</v>
      </c>
      <c r="E15" s="314">
        <f>+P17/1000</f>
        <v>9782.6659999999993</v>
      </c>
      <c r="F15" s="313">
        <f>+E15/C15</f>
        <v>0.70811914585595359</v>
      </c>
      <c r="G15" s="6">
        <v>13588</v>
      </c>
      <c r="H15" s="313">
        <f>+G15/$C$13</f>
        <v>0.42942238612271688</v>
      </c>
      <c r="I15" s="315">
        <v>10843</v>
      </c>
      <c r="J15" s="316">
        <f>+I15/G15</f>
        <v>0.79798351486605834</v>
      </c>
      <c r="K15" s="6">
        <v>14675</v>
      </c>
      <c r="N15" s="304" t="s">
        <v>288</v>
      </c>
      <c r="O15" s="317">
        <v>31643000</v>
      </c>
      <c r="P15" s="317">
        <v>27570373</v>
      </c>
    </row>
    <row r="16" spans="2:16" ht="16.5" x14ac:dyDescent="0.25">
      <c r="B16" s="116" t="s">
        <v>12</v>
      </c>
      <c r="C16" s="6">
        <v>11251</v>
      </c>
      <c r="D16" s="313">
        <f t="shared" ref="D16:D18" si="0">+C16/$C$13</f>
        <v>0.35556603372583806</v>
      </c>
      <c r="E16" s="314">
        <f>11016+68</f>
        <v>11084</v>
      </c>
      <c r="F16" s="313">
        <f t="shared" ref="F16:F17" si="1">+E16/C16</f>
        <v>0.98515687494444937</v>
      </c>
      <c r="G16" s="6">
        <v>11822</v>
      </c>
      <c r="H16" s="313">
        <f>+G16/$C$13</f>
        <v>0.37361138127338528</v>
      </c>
      <c r="I16" s="315">
        <v>10823</v>
      </c>
      <c r="J16" s="316">
        <f t="shared" ref="J16:J18" si="2">+I16/G16</f>
        <v>0.91549653188969715</v>
      </c>
      <c r="K16" s="6">
        <v>12875</v>
      </c>
      <c r="N16" s="318" t="s">
        <v>10</v>
      </c>
      <c r="O16" s="319">
        <v>26778495</v>
      </c>
      <c r="P16" s="320">
        <v>23465162</v>
      </c>
    </row>
    <row r="17" spans="2:16" ht="16.5" x14ac:dyDescent="0.25">
      <c r="B17" s="116" t="s">
        <v>42</v>
      </c>
      <c r="C17" s="6">
        <v>1712</v>
      </c>
      <c r="D17" s="313">
        <f t="shared" si="0"/>
        <v>5.4104439582138009E-2</v>
      </c>
      <c r="E17" s="314">
        <v>672</v>
      </c>
      <c r="F17" s="313">
        <f t="shared" si="1"/>
        <v>0.3925233644859813</v>
      </c>
      <c r="G17" s="6">
        <v>1348</v>
      </c>
      <c r="H17" s="313">
        <f>+G17/$C$13</f>
        <v>4.2600925558832964E-2</v>
      </c>
      <c r="I17" s="315">
        <v>947</v>
      </c>
      <c r="J17" s="316">
        <f t="shared" si="2"/>
        <v>0.70252225519287836</v>
      </c>
      <c r="K17" s="6">
        <v>2880</v>
      </c>
      <c r="N17" s="292" t="s">
        <v>11</v>
      </c>
      <c r="O17" s="293">
        <v>13815000</v>
      </c>
      <c r="P17" s="293">
        <v>9782666</v>
      </c>
    </row>
    <row r="18" spans="2:16" ht="16.5" x14ac:dyDescent="0.25">
      <c r="B18" s="116" t="s">
        <v>94</v>
      </c>
      <c r="C18" s="6"/>
      <c r="D18" s="313">
        <f t="shared" si="0"/>
        <v>0</v>
      </c>
      <c r="E18" s="314">
        <v>1926</v>
      </c>
      <c r="F18" s="313">
        <v>1</v>
      </c>
      <c r="G18" s="6">
        <v>1211</v>
      </c>
      <c r="H18" s="313">
        <f>+G18/$C$13</f>
        <v>3.8271306269841786E-2</v>
      </c>
      <c r="I18" s="315">
        <v>1084</v>
      </c>
      <c r="J18" s="316">
        <f t="shared" si="2"/>
        <v>0.89512799339388938</v>
      </c>
      <c r="K18" s="6">
        <v>2090</v>
      </c>
      <c r="N18" s="292" t="s">
        <v>12</v>
      </c>
      <c r="O18" s="293">
        <v>12963495</v>
      </c>
      <c r="P18" s="293">
        <v>13682496</v>
      </c>
    </row>
    <row r="19" spans="2:16" ht="16.5" x14ac:dyDescent="0.25">
      <c r="B19" s="128" t="s">
        <v>13</v>
      </c>
      <c r="C19" s="30">
        <f>SUM(C15:C18)</f>
        <v>26778</v>
      </c>
      <c r="D19" s="290">
        <f>+C19/C13</f>
        <v>0.84626675416500685</v>
      </c>
      <c r="E19" s="30">
        <f>SUM(E15:E18)</f>
        <v>23464.665999999997</v>
      </c>
      <c r="F19" s="290">
        <f>+E19/C19</f>
        <v>0.87626656210321896</v>
      </c>
      <c r="G19" s="30">
        <f>SUM(G15:G18)</f>
        <v>27969</v>
      </c>
      <c r="H19" s="290">
        <f>+G19/G13</f>
        <v>0.81790267867586852</v>
      </c>
      <c r="I19" s="30">
        <f>+I18+I17+I16+I15</f>
        <v>23697</v>
      </c>
      <c r="J19" s="151">
        <f>+I19/G19</f>
        <v>0.84725946583717693</v>
      </c>
      <c r="K19" s="30">
        <f>+K18+K17+K16+K15</f>
        <v>32520</v>
      </c>
      <c r="N19" s="321" t="s">
        <v>344</v>
      </c>
      <c r="O19" s="322"/>
      <c r="P19" s="322"/>
    </row>
    <row r="20" spans="2:16" x14ac:dyDescent="0.25">
      <c r="B20" s="116" t="s">
        <v>345</v>
      </c>
      <c r="C20" s="323"/>
      <c r="D20" s="64"/>
      <c r="E20" s="284"/>
      <c r="F20" s="64"/>
      <c r="G20" s="323"/>
      <c r="H20" s="64"/>
      <c r="I20" s="323"/>
      <c r="J20" s="64"/>
      <c r="K20" s="323"/>
      <c r="N20" s="318" t="s">
        <v>346</v>
      </c>
      <c r="O20" s="324">
        <v>1064000</v>
      </c>
      <c r="P20" s="324">
        <v>766264</v>
      </c>
    </row>
    <row r="21" spans="2:16" ht="16.5" x14ac:dyDescent="0.25">
      <c r="B21" s="116" t="s">
        <v>15</v>
      </c>
      <c r="C21" s="6">
        <f>+O21/1000</f>
        <v>714</v>
      </c>
      <c r="D21" s="313">
        <f t="shared" ref="D21:D22" si="3">+C21/$C$13</f>
        <v>2.2564585199559895E-2</v>
      </c>
      <c r="E21" s="314">
        <f>+P21/1000</f>
        <v>498.11799999999999</v>
      </c>
      <c r="F21" s="313">
        <f>+E21/C21</f>
        <v>0.69764425770308125</v>
      </c>
      <c r="G21" s="6">
        <v>1150</v>
      </c>
      <c r="H21" s="313">
        <v>3.1352725062843569E-2</v>
      </c>
      <c r="I21" s="315">
        <v>855</v>
      </c>
      <c r="J21" s="325">
        <f>+I21/G21</f>
        <v>0.74347826086956526</v>
      </c>
      <c r="K21" s="6">
        <v>1550</v>
      </c>
      <c r="N21" s="292" t="s">
        <v>15</v>
      </c>
      <c r="O21" s="293">
        <v>714000</v>
      </c>
      <c r="P21" s="293">
        <v>498118</v>
      </c>
    </row>
    <row r="22" spans="2:16" ht="16.5" x14ac:dyDescent="0.25">
      <c r="B22" s="116" t="s">
        <v>16</v>
      </c>
      <c r="C22" s="6">
        <f>+O22/1000</f>
        <v>350</v>
      </c>
      <c r="D22" s="313">
        <f t="shared" si="3"/>
        <v>1.106107117625485E-2</v>
      </c>
      <c r="E22" s="314">
        <f>+P22/1000</f>
        <v>268.14600000000002</v>
      </c>
      <c r="F22" s="313">
        <f>+E22/C22</f>
        <v>0.76613142857142857</v>
      </c>
      <c r="G22" s="6">
        <v>536</v>
      </c>
      <c r="H22" s="313">
        <v>1.480622082262921E-2</v>
      </c>
      <c r="I22" s="315">
        <v>258</v>
      </c>
      <c r="J22" s="325">
        <f t="shared" ref="J22:J23" si="4">+I22/G22</f>
        <v>0.48134328358208955</v>
      </c>
      <c r="K22" s="6">
        <v>535</v>
      </c>
      <c r="N22" s="292" t="s">
        <v>347</v>
      </c>
      <c r="O22" s="293">
        <v>350000</v>
      </c>
      <c r="P22" s="293">
        <v>268146</v>
      </c>
    </row>
    <row r="23" spans="2:16" ht="16.5" x14ac:dyDescent="0.25">
      <c r="B23" s="116" t="s">
        <v>83</v>
      </c>
      <c r="C23" s="6"/>
      <c r="D23" s="313"/>
      <c r="E23" s="314"/>
      <c r="F23" s="313"/>
      <c r="G23" s="6">
        <v>335</v>
      </c>
      <c r="H23" s="313">
        <v>9.1157702825888781E-3</v>
      </c>
      <c r="I23" s="315">
        <v>162</v>
      </c>
      <c r="J23" s="325">
        <f t="shared" si="4"/>
        <v>0.4835820895522388</v>
      </c>
      <c r="K23" s="6">
        <v>420</v>
      </c>
      <c r="N23" s="321" t="s">
        <v>348</v>
      </c>
      <c r="O23" s="322"/>
      <c r="P23" s="322"/>
    </row>
    <row r="24" spans="2:16" ht="17.25" thickBot="1" x14ac:dyDescent="0.3">
      <c r="B24" s="128" t="s">
        <v>17</v>
      </c>
      <c r="C24" s="9">
        <f>+C23+C22+C21</f>
        <v>1064</v>
      </c>
      <c r="D24" s="326">
        <f>+C24/C13</f>
        <v>3.3625656375814744E-2</v>
      </c>
      <c r="E24" s="9">
        <f>+E23+E22+E21</f>
        <v>766.26400000000001</v>
      </c>
      <c r="F24" s="326">
        <f>+E24/C24</f>
        <v>0.72017293233082713</v>
      </c>
      <c r="G24" s="9">
        <f>+G23+G22+G21</f>
        <v>2021</v>
      </c>
      <c r="H24" s="326">
        <v>5.5274716168061656E-2</v>
      </c>
      <c r="I24" s="9">
        <f>+I23+I22+I21</f>
        <v>1275</v>
      </c>
      <c r="J24" s="153">
        <f>+I24/G24</f>
        <v>0.63087580405739729</v>
      </c>
      <c r="K24" s="9">
        <f>+K23+K22+K21</f>
        <v>2505</v>
      </c>
      <c r="N24" s="327" t="s">
        <v>18</v>
      </c>
      <c r="O24" s="328">
        <v>3800505</v>
      </c>
      <c r="P24" s="328">
        <v>3338947</v>
      </c>
    </row>
    <row r="25" spans="2:16" x14ac:dyDescent="0.25">
      <c r="B25" s="116" t="s">
        <v>18</v>
      </c>
      <c r="C25" s="323"/>
      <c r="D25" s="64"/>
      <c r="E25" s="284"/>
      <c r="F25" s="64"/>
      <c r="G25" s="323"/>
      <c r="H25" s="64"/>
      <c r="I25" s="323"/>
      <c r="J25" s="64"/>
      <c r="K25" s="323"/>
    </row>
    <row r="26" spans="2:16" ht="16.5" x14ac:dyDescent="0.25">
      <c r="B26" s="116" t="s">
        <v>19</v>
      </c>
      <c r="C26" s="12">
        <f>+O24/1000</f>
        <v>3800.5050000000001</v>
      </c>
      <c r="D26" s="313">
        <f>+C26/C13</f>
        <v>0.1201075894591784</v>
      </c>
      <c r="E26" s="314">
        <f>+P24/1000</f>
        <v>3338.9470000000001</v>
      </c>
      <c r="F26" s="313">
        <f>+E26/C26</f>
        <v>0.87855350802064458</v>
      </c>
      <c r="G26" s="12">
        <v>4206</v>
      </c>
      <c r="H26" s="313">
        <v>0.15444324742410431</v>
      </c>
      <c r="I26" s="329">
        <v>3244</v>
      </c>
      <c r="J26" s="316">
        <f>+I26/G26</f>
        <v>0.77127912505943885</v>
      </c>
      <c r="K26" s="12">
        <v>5980</v>
      </c>
    </row>
    <row r="27" spans="2:16" ht="16.5" x14ac:dyDescent="0.25">
      <c r="B27" s="128" t="s">
        <v>20</v>
      </c>
      <c r="C27" s="30">
        <f>+C26</f>
        <v>3800.5050000000001</v>
      </c>
      <c r="D27" s="330">
        <f>+C27/C13</f>
        <v>0.1201075894591784</v>
      </c>
      <c r="E27" s="331">
        <f>+E26</f>
        <v>3338.9470000000001</v>
      </c>
      <c r="F27" s="332">
        <f>+E27/C27</f>
        <v>0.87855350802064458</v>
      </c>
      <c r="G27" s="30">
        <f>+G26</f>
        <v>4206</v>
      </c>
      <c r="H27" s="330">
        <v>0.15444324742410431</v>
      </c>
      <c r="I27" s="30">
        <f>+I26</f>
        <v>3244</v>
      </c>
      <c r="J27" s="72">
        <f>+I27/G27</f>
        <v>0.77127912505943885</v>
      </c>
      <c r="K27" s="30">
        <f>+K26</f>
        <v>5980</v>
      </c>
    </row>
    <row r="28" spans="2:16" ht="16.5" hidden="1" x14ac:dyDescent="0.25">
      <c r="B28" s="128" t="s">
        <v>349</v>
      </c>
      <c r="C28" s="30"/>
      <c r="D28" s="330"/>
      <c r="E28" s="331"/>
      <c r="F28" s="332"/>
      <c r="G28" s="30"/>
      <c r="H28" s="72"/>
      <c r="I28" s="30"/>
      <c r="J28" s="72"/>
      <c r="K28" s="30">
        <v>2435</v>
      </c>
    </row>
    <row r="29" spans="2:16" ht="16.5" x14ac:dyDescent="0.25">
      <c r="B29" s="333"/>
      <c r="C29" s="334"/>
      <c r="D29" s="335"/>
      <c r="E29" s="336"/>
      <c r="F29" s="335"/>
      <c r="G29" s="334"/>
      <c r="H29" s="337"/>
      <c r="I29" s="84"/>
      <c r="J29" s="85"/>
      <c r="K29" s="84"/>
    </row>
    <row r="30" spans="2:16" ht="52.15" customHeight="1" x14ac:dyDescent="0.25">
      <c r="B30" s="514" t="s">
        <v>350</v>
      </c>
      <c r="C30" s="515"/>
      <c r="D30" s="515"/>
      <c r="E30" s="515"/>
      <c r="F30" s="515"/>
      <c r="G30" s="515"/>
      <c r="H30" s="515"/>
      <c r="I30" s="515"/>
    </row>
    <row r="33" spans="3:3" x14ac:dyDescent="0.25">
      <c r="C33" s="57"/>
    </row>
  </sheetData>
  <mergeCells count="11">
    <mergeCell ref="O7:O8"/>
    <mergeCell ref="P7:P8"/>
    <mergeCell ref="B30:I30"/>
    <mergeCell ref="B4:B5"/>
    <mergeCell ref="C4:F4"/>
    <mergeCell ref="G4:J4"/>
    <mergeCell ref="K4:K5"/>
    <mergeCell ref="C5:D5"/>
    <mergeCell ref="E5:F5"/>
    <mergeCell ref="G5:H5"/>
    <mergeCell ref="I5:J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3:R18"/>
  <sheetViews>
    <sheetView topLeftCell="B1" workbookViewId="0">
      <selection activeCell="D6" sqref="D6:D10"/>
    </sheetView>
  </sheetViews>
  <sheetFormatPr baseColWidth="10" defaultRowHeight="15" x14ac:dyDescent="0.25"/>
  <cols>
    <col min="2" max="2" width="25.7109375" customWidth="1"/>
    <col min="3" max="3" width="20.28515625" customWidth="1"/>
    <col min="4" max="4" width="15.28515625" customWidth="1"/>
    <col min="5" max="5" width="16.7109375" customWidth="1"/>
    <col min="6" max="7" width="8.28515625" customWidth="1"/>
    <col min="8" max="8" width="12.85546875" customWidth="1"/>
    <col min="9" max="9" width="6.85546875" customWidth="1"/>
    <col min="10" max="10" width="13.5703125" bestFit="1" customWidth="1"/>
    <col min="11" max="11" width="6" customWidth="1"/>
    <col min="12" max="12" width="12.5703125" bestFit="1" customWidth="1"/>
    <col min="13" max="13" width="6.28515625" customWidth="1"/>
    <col min="14" max="14" width="7.7109375" customWidth="1"/>
    <col min="15" max="15" width="12.5703125" bestFit="1" customWidth="1"/>
    <col min="16" max="16" width="7" customWidth="1"/>
    <col min="17" max="17" width="12.5703125" bestFit="1" customWidth="1"/>
    <col min="18" max="18" width="6.28515625" customWidth="1"/>
  </cols>
  <sheetData>
    <row r="3" spans="1:18" ht="15.75" thickBot="1" x14ac:dyDescent="0.3"/>
    <row r="4" spans="1:18" x14ac:dyDescent="0.25">
      <c r="A4" s="532" t="s">
        <v>338</v>
      </c>
      <c r="B4" s="533"/>
      <c r="C4" s="533"/>
      <c r="D4" s="534"/>
      <c r="E4" s="526" t="s">
        <v>334</v>
      </c>
      <c r="F4" s="527"/>
      <c r="G4" s="527"/>
      <c r="H4" s="527"/>
      <c r="I4" s="527"/>
      <c r="J4" s="527"/>
      <c r="K4" s="528"/>
      <c r="L4" s="529" t="s">
        <v>19</v>
      </c>
      <c r="M4" s="530"/>
      <c r="N4" s="530"/>
      <c r="O4" s="530"/>
      <c r="P4" s="530"/>
      <c r="Q4" s="530"/>
      <c r="R4" s="531"/>
    </row>
    <row r="5" spans="1:18" ht="30" x14ac:dyDescent="0.25">
      <c r="A5" s="135"/>
      <c r="B5" s="270" t="s">
        <v>41</v>
      </c>
      <c r="C5" s="136"/>
      <c r="D5" s="276"/>
      <c r="E5" s="263" t="s">
        <v>335</v>
      </c>
      <c r="F5" s="264" t="s">
        <v>1</v>
      </c>
      <c r="G5" s="264"/>
      <c r="H5" s="264" t="s">
        <v>337</v>
      </c>
      <c r="I5" s="264" t="s">
        <v>1</v>
      </c>
      <c r="J5" s="264" t="s">
        <v>336</v>
      </c>
      <c r="K5" s="265" t="s">
        <v>1</v>
      </c>
      <c r="L5" s="263" t="s">
        <v>335</v>
      </c>
      <c r="M5" s="264"/>
      <c r="N5" s="264"/>
      <c r="O5" s="264" t="s">
        <v>337</v>
      </c>
      <c r="P5" s="264" t="s">
        <v>1</v>
      </c>
      <c r="Q5" s="264" t="s">
        <v>336</v>
      </c>
      <c r="R5" s="265" t="s">
        <v>1</v>
      </c>
    </row>
    <row r="6" spans="1:18" x14ac:dyDescent="0.25">
      <c r="A6" s="271">
        <f>+B6/$B$10</f>
        <v>1.903429831924571</v>
      </c>
      <c r="B6" s="272">
        <f>+E6+L6</f>
        <v>48753500</v>
      </c>
      <c r="C6" s="126">
        <f t="shared" ref="C6:C8" si="0">+B6/B7-1</f>
        <v>0.12231555636382052</v>
      </c>
      <c r="D6" s="276">
        <v>2016</v>
      </c>
      <c r="E6" s="225">
        <v>39302000</v>
      </c>
      <c r="F6" s="126"/>
      <c r="G6" s="276">
        <v>2016</v>
      </c>
      <c r="H6" s="132"/>
      <c r="I6" s="278"/>
      <c r="J6" s="279"/>
      <c r="K6" s="280"/>
      <c r="L6" s="225">
        <v>9451500</v>
      </c>
      <c r="M6" s="126">
        <f t="shared" ref="M6:M9" si="1">+L6/O6</f>
        <v>2.6699152542372881</v>
      </c>
      <c r="N6" s="276">
        <v>2016</v>
      </c>
      <c r="O6" s="132">
        <v>3540000</v>
      </c>
      <c r="P6" s="279"/>
      <c r="Q6" s="279"/>
      <c r="R6" s="280"/>
    </row>
    <row r="7" spans="1:18" ht="15.75" thickBot="1" x14ac:dyDescent="0.3">
      <c r="A7" s="271">
        <f>+B7/$B$10</f>
        <v>1.6959845394030493</v>
      </c>
      <c r="B7" s="272">
        <f t="shared" ref="B7:B10" si="2">+E7+L7</f>
        <v>43440100</v>
      </c>
      <c r="C7" s="126">
        <f t="shared" si="0"/>
        <v>0.22006494415463296</v>
      </c>
      <c r="D7" s="276">
        <v>2015</v>
      </c>
      <c r="E7" s="225">
        <v>36660535</v>
      </c>
      <c r="F7" s="126">
        <f t="shared" ref="F7:F9" si="3">+E7/H7</f>
        <v>1.3350036415279851</v>
      </c>
      <c r="G7" s="276">
        <v>2015</v>
      </c>
      <c r="H7" s="132">
        <v>27461000</v>
      </c>
      <c r="I7" s="267">
        <f t="shared" ref="I7:I9" si="4">+H7/E7</f>
        <v>0.74906162716937985</v>
      </c>
      <c r="J7" s="279">
        <v>32091000</v>
      </c>
      <c r="K7" s="269">
        <f t="shared" ref="K7:K10" si="5">+J7/E7</f>
        <v>0.8753554742177112</v>
      </c>
      <c r="L7" s="225">
        <v>6779565</v>
      </c>
      <c r="M7" s="126">
        <f t="shared" si="1"/>
        <v>1.9459141791044776</v>
      </c>
      <c r="N7" s="276">
        <v>2015</v>
      </c>
      <c r="O7" s="132">
        <v>3484000</v>
      </c>
      <c r="P7" s="126">
        <f t="shared" ref="P7:P8" si="6">+O7/L7</f>
        <v>0.51389727807020069</v>
      </c>
      <c r="Q7" s="279">
        <v>3618000</v>
      </c>
      <c r="R7" s="127">
        <f>+Q7/L7</f>
        <v>0.53366255799597762</v>
      </c>
    </row>
    <row r="8" spans="1:18" ht="15.75" thickBot="1" x14ac:dyDescent="0.3">
      <c r="A8" s="271">
        <f>+B8/$B$10</f>
        <v>1.3900772639428427</v>
      </c>
      <c r="B8" s="272">
        <f t="shared" si="2"/>
        <v>35604744</v>
      </c>
      <c r="C8" s="126">
        <f t="shared" si="0"/>
        <v>8.2622394526795873E-2</v>
      </c>
      <c r="D8" s="276">
        <v>2014</v>
      </c>
      <c r="E8" s="225">
        <v>30118000</v>
      </c>
      <c r="F8" s="126">
        <f t="shared" si="3"/>
        <v>1.1820251177394034</v>
      </c>
      <c r="G8" s="276">
        <v>2014</v>
      </c>
      <c r="H8" s="132">
        <v>25480000</v>
      </c>
      <c r="I8" s="267">
        <f t="shared" si="4"/>
        <v>0.84600571087057574</v>
      </c>
      <c r="J8" s="132">
        <v>24980333</v>
      </c>
      <c r="K8" s="269">
        <f t="shared" si="5"/>
        <v>0.82941539942891296</v>
      </c>
      <c r="L8" s="225">
        <v>5486744</v>
      </c>
      <c r="M8" s="126">
        <f t="shared" si="1"/>
        <v>1.8700558963871847</v>
      </c>
      <c r="N8" s="276">
        <v>2014</v>
      </c>
      <c r="O8" s="132">
        <v>2934000</v>
      </c>
      <c r="P8" s="126">
        <f t="shared" si="6"/>
        <v>0.53474337421246554</v>
      </c>
      <c r="Q8" s="132">
        <v>3235852</v>
      </c>
      <c r="R8" s="127">
        <f>+Q8/L8</f>
        <v>0.58975815164695122</v>
      </c>
    </row>
    <row r="9" spans="1:18" ht="15.75" thickBot="1" x14ac:dyDescent="0.3">
      <c r="A9" s="271">
        <f>+B9/$B$10</f>
        <v>1.2839908641927109</v>
      </c>
      <c r="B9" s="272">
        <f t="shared" si="2"/>
        <v>32887500</v>
      </c>
      <c r="C9" s="126">
        <f>+B9/B10-1</f>
        <v>0.28399086419271091</v>
      </c>
      <c r="D9" s="276">
        <v>2013</v>
      </c>
      <c r="E9" s="225">
        <v>27911080</v>
      </c>
      <c r="F9" s="126">
        <f t="shared" si="3"/>
        <v>1.1981061126373627</v>
      </c>
      <c r="G9" s="276">
        <v>2013</v>
      </c>
      <c r="H9" s="132">
        <v>23296000</v>
      </c>
      <c r="I9" s="267">
        <f t="shared" si="4"/>
        <v>0.83465061187170109</v>
      </c>
      <c r="J9" s="132">
        <v>24316230</v>
      </c>
      <c r="K9" s="269">
        <f t="shared" si="5"/>
        <v>0.87120347904846396</v>
      </c>
      <c r="L9" s="225">
        <v>4976420</v>
      </c>
      <c r="M9" s="126">
        <f t="shared" si="1"/>
        <v>1.4881638755980862</v>
      </c>
      <c r="N9" s="276">
        <v>2013</v>
      </c>
      <c r="O9" s="132">
        <v>3344000</v>
      </c>
      <c r="P9" s="126">
        <f>+O9/L9</f>
        <v>0.67196900583150132</v>
      </c>
      <c r="Q9" s="132">
        <v>3253320</v>
      </c>
      <c r="R9" s="127">
        <f t="shared" ref="R9:R10" si="7">+Q9/L9</f>
        <v>0.65374707118772124</v>
      </c>
    </row>
    <row r="10" spans="1:18" ht="15.75" thickBot="1" x14ac:dyDescent="0.3">
      <c r="A10" s="273"/>
      <c r="B10" s="274">
        <f t="shared" si="2"/>
        <v>25613500</v>
      </c>
      <c r="C10" s="275"/>
      <c r="D10" s="277">
        <v>2012</v>
      </c>
      <c r="E10" s="266">
        <v>20769000</v>
      </c>
      <c r="F10" s="267">
        <f>+E10/H10</f>
        <v>0.99425534970558671</v>
      </c>
      <c r="G10" s="277">
        <v>2012</v>
      </c>
      <c r="H10" s="268">
        <v>20889000</v>
      </c>
      <c r="I10" s="267">
        <f>+H10/E10</f>
        <v>1.0057778419760219</v>
      </c>
      <c r="J10" s="268">
        <v>16037987</v>
      </c>
      <c r="K10" s="269">
        <f t="shared" si="5"/>
        <v>0.77220795416245369</v>
      </c>
      <c r="L10" s="266">
        <v>4844500</v>
      </c>
      <c r="M10" s="267">
        <f>+L10/O10</f>
        <v>1.5177005012531328</v>
      </c>
      <c r="N10" s="277">
        <v>2012</v>
      </c>
      <c r="O10" s="268">
        <v>3192000</v>
      </c>
      <c r="P10" s="126">
        <f>+O10/L10</f>
        <v>0.65889152647332028</v>
      </c>
      <c r="Q10" s="268">
        <v>3284470</v>
      </c>
      <c r="R10" s="269">
        <f t="shared" si="7"/>
        <v>0.67797915161523381</v>
      </c>
    </row>
    <row r="12" spans="1:18" x14ac:dyDescent="0.25">
      <c r="C12">
        <v>2012</v>
      </c>
      <c r="D12" s="281">
        <v>2013</v>
      </c>
      <c r="E12" s="173">
        <v>2014</v>
      </c>
      <c r="F12">
        <v>2015</v>
      </c>
      <c r="G12" s="281">
        <v>2016</v>
      </c>
    </row>
    <row r="13" spans="1:18" x14ac:dyDescent="0.25">
      <c r="B13" t="s">
        <v>353</v>
      </c>
      <c r="L13" s="57"/>
      <c r="M13" s="57"/>
      <c r="N13" s="57"/>
    </row>
    <row r="14" spans="1:18" x14ac:dyDescent="0.25">
      <c r="B14" t="s">
        <v>354</v>
      </c>
    </row>
    <row r="15" spans="1:18" x14ac:dyDescent="0.25">
      <c r="B15" t="s">
        <v>355</v>
      </c>
    </row>
    <row r="16" spans="1:18" x14ac:dyDescent="0.25">
      <c r="B16" t="s">
        <v>356</v>
      </c>
    </row>
    <row r="17" spans="2:2" x14ac:dyDescent="0.25">
      <c r="B17" t="s">
        <v>357</v>
      </c>
    </row>
    <row r="18" spans="2:2" x14ac:dyDescent="0.25">
      <c r="B18" t="s">
        <v>358</v>
      </c>
    </row>
  </sheetData>
  <mergeCells count="3">
    <mergeCell ref="E4:K4"/>
    <mergeCell ref="L4:R4"/>
    <mergeCell ref="A4:D4"/>
  </mergeCells>
  <pageMargins left="0.7" right="0.7" top="0.75" bottom="0.75" header="0.3" footer="0.3"/>
  <pageSetup paperSize="0" orientation="portrait" horizontalDpi="0" verticalDpi="0" copies="0"/>
  <ignoredErrors>
    <ignoredError sqref="P9" 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3:N31"/>
  <sheetViews>
    <sheetView zoomScale="80" zoomScaleNormal="80" workbookViewId="0">
      <selection activeCell="H23" sqref="H23"/>
    </sheetView>
  </sheetViews>
  <sheetFormatPr baseColWidth="10" defaultRowHeight="15" x14ac:dyDescent="0.25"/>
  <cols>
    <col min="2" max="2" width="44.140625" bestFit="1" customWidth="1"/>
    <col min="3" max="3" width="10.28515625" style="40" hidden="1" customWidth="1"/>
    <col min="4" max="4" width="8.7109375" style="36" hidden="1" customWidth="1"/>
    <col min="5" max="5" width="9.7109375" style="20" hidden="1" customWidth="1"/>
    <col min="6" max="6" width="7.5703125" style="36" hidden="1" customWidth="1"/>
    <col min="7" max="7" width="21.140625" customWidth="1"/>
    <col min="8" max="8" width="11" customWidth="1"/>
    <col min="9" max="9" width="17.28515625" customWidth="1"/>
    <col min="236" max="236" width="37.42578125" bestFit="1" customWidth="1"/>
    <col min="237" max="237" width="13.85546875" bestFit="1" customWidth="1"/>
    <col min="238" max="238" width="13.42578125" customWidth="1"/>
    <col min="239" max="239" width="7.85546875" bestFit="1" customWidth="1"/>
    <col min="240" max="240" width="13.28515625" customWidth="1"/>
    <col min="241" max="241" width="7.7109375" bestFit="1" customWidth="1"/>
    <col min="242" max="242" width="14.7109375" customWidth="1"/>
    <col min="243" max="243" width="7.85546875" bestFit="1" customWidth="1"/>
    <col min="492" max="492" width="37.42578125" bestFit="1" customWidth="1"/>
    <col min="493" max="493" width="13.85546875" bestFit="1" customWidth="1"/>
    <col min="494" max="494" width="13.42578125" customWidth="1"/>
    <col min="495" max="495" width="7.85546875" bestFit="1" customWidth="1"/>
    <col min="496" max="496" width="13.28515625" customWidth="1"/>
    <col min="497" max="497" width="7.7109375" bestFit="1" customWidth="1"/>
    <col min="498" max="498" width="14.7109375" customWidth="1"/>
    <col min="499" max="499" width="7.85546875" bestFit="1" customWidth="1"/>
    <col min="748" max="748" width="37.42578125" bestFit="1" customWidth="1"/>
    <col min="749" max="749" width="13.85546875" bestFit="1" customWidth="1"/>
    <col min="750" max="750" width="13.42578125" customWidth="1"/>
    <col min="751" max="751" width="7.85546875" bestFit="1" customWidth="1"/>
    <col min="752" max="752" width="13.28515625" customWidth="1"/>
    <col min="753" max="753" width="7.7109375" bestFit="1" customWidth="1"/>
    <col min="754" max="754" width="14.7109375" customWidth="1"/>
    <col min="755" max="755" width="7.85546875" bestFit="1" customWidth="1"/>
    <col min="1004" max="1004" width="37.42578125" bestFit="1" customWidth="1"/>
    <col min="1005" max="1005" width="13.85546875" bestFit="1" customWidth="1"/>
    <col min="1006" max="1006" width="13.42578125" customWidth="1"/>
    <col min="1007" max="1007" width="7.85546875" bestFit="1" customWidth="1"/>
    <col min="1008" max="1008" width="13.28515625" customWidth="1"/>
    <col min="1009" max="1009" width="7.7109375" bestFit="1" customWidth="1"/>
    <col min="1010" max="1010" width="14.7109375" customWidth="1"/>
    <col min="1011" max="1011" width="7.85546875" bestFit="1" customWidth="1"/>
    <col min="1260" max="1260" width="37.42578125" bestFit="1" customWidth="1"/>
    <col min="1261" max="1261" width="13.85546875" bestFit="1" customWidth="1"/>
    <col min="1262" max="1262" width="13.42578125" customWidth="1"/>
    <col min="1263" max="1263" width="7.85546875" bestFit="1" customWidth="1"/>
    <col min="1264" max="1264" width="13.28515625" customWidth="1"/>
    <col min="1265" max="1265" width="7.7109375" bestFit="1" customWidth="1"/>
    <col min="1266" max="1266" width="14.7109375" customWidth="1"/>
    <col min="1267" max="1267" width="7.85546875" bestFit="1" customWidth="1"/>
    <col min="1516" max="1516" width="37.42578125" bestFit="1" customWidth="1"/>
    <col min="1517" max="1517" width="13.85546875" bestFit="1" customWidth="1"/>
    <col min="1518" max="1518" width="13.42578125" customWidth="1"/>
    <col min="1519" max="1519" width="7.85546875" bestFit="1" customWidth="1"/>
    <col min="1520" max="1520" width="13.28515625" customWidth="1"/>
    <col min="1521" max="1521" width="7.7109375" bestFit="1" customWidth="1"/>
    <col min="1522" max="1522" width="14.7109375" customWidth="1"/>
    <col min="1523" max="1523" width="7.85546875" bestFit="1" customWidth="1"/>
    <col min="1772" max="1772" width="37.42578125" bestFit="1" customWidth="1"/>
    <col min="1773" max="1773" width="13.85546875" bestFit="1" customWidth="1"/>
    <col min="1774" max="1774" width="13.42578125" customWidth="1"/>
    <col min="1775" max="1775" width="7.85546875" bestFit="1" customWidth="1"/>
    <col min="1776" max="1776" width="13.28515625" customWidth="1"/>
    <col min="1777" max="1777" width="7.7109375" bestFit="1" customWidth="1"/>
    <col min="1778" max="1778" width="14.7109375" customWidth="1"/>
    <col min="1779" max="1779" width="7.85546875" bestFit="1" customWidth="1"/>
    <col min="2028" max="2028" width="37.42578125" bestFit="1" customWidth="1"/>
    <col min="2029" max="2029" width="13.85546875" bestFit="1" customWidth="1"/>
    <col min="2030" max="2030" width="13.42578125" customWidth="1"/>
    <col min="2031" max="2031" width="7.85546875" bestFit="1" customWidth="1"/>
    <col min="2032" max="2032" width="13.28515625" customWidth="1"/>
    <col min="2033" max="2033" width="7.7109375" bestFit="1" customWidth="1"/>
    <col min="2034" max="2034" width="14.7109375" customWidth="1"/>
    <col min="2035" max="2035" width="7.85546875" bestFit="1" customWidth="1"/>
    <col min="2284" max="2284" width="37.42578125" bestFit="1" customWidth="1"/>
    <col min="2285" max="2285" width="13.85546875" bestFit="1" customWidth="1"/>
    <col min="2286" max="2286" width="13.42578125" customWidth="1"/>
    <col min="2287" max="2287" width="7.85546875" bestFit="1" customWidth="1"/>
    <col min="2288" max="2288" width="13.28515625" customWidth="1"/>
    <col min="2289" max="2289" width="7.7109375" bestFit="1" customWidth="1"/>
    <col min="2290" max="2290" width="14.7109375" customWidth="1"/>
    <col min="2291" max="2291" width="7.85546875" bestFit="1" customWidth="1"/>
    <col min="2540" max="2540" width="37.42578125" bestFit="1" customWidth="1"/>
    <col min="2541" max="2541" width="13.85546875" bestFit="1" customWidth="1"/>
    <col min="2542" max="2542" width="13.42578125" customWidth="1"/>
    <col min="2543" max="2543" width="7.85546875" bestFit="1" customWidth="1"/>
    <col min="2544" max="2544" width="13.28515625" customWidth="1"/>
    <col min="2545" max="2545" width="7.7109375" bestFit="1" customWidth="1"/>
    <col min="2546" max="2546" width="14.7109375" customWidth="1"/>
    <col min="2547" max="2547" width="7.85546875" bestFit="1" customWidth="1"/>
    <col min="2796" max="2796" width="37.42578125" bestFit="1" customWidth="1"/>
    <col min="2797" max="2797" width="13.85546875" bestFit="1" customWidth="1"/>
    <col min="2798" max="2798" width="13.42578125" customWidth="1"/>
    <col min="2799" max="2799" width="7.85546875" bestFit="1" customWidth="1"/>
    <col min="2800" max="2800" width="13.28515625" customWidth="1"/>
    <col min="2801" max="2801" width="7.7109375" bestFit="1" customWidth="1"/>
    <col min="2802" max="2802" width="14.7109375" customWidth="1"/>
    <col min="2803" max="2803" width="7.85546875" bestFit="1" customWidth="1"/>
    <col min="3052" max="3052" width="37.42578125" bestFit="1" customWidth="1"/>
    <col min="3053" max="3053" width="13.85546875" bestFit="1" customWidth="1"/>
    <col min="3054" max="3054" width="13.42578125" customWidth="1"/>
    <col min="3055" max="3055" width="7.85546875" bestFit="1" customWidth="1"/>
    <col min="3056" max="3056" width="13.28515625" customWidth="1"/>
    <col min="3057" max="3057" width="7.7109375" bestFit="1" customWidth="1"/>
    <col min="3058" max="3058" width="14.7109375" customWidth="1"/>
    <col min="3059" max="3059" width="7.85546875" bestFit="1" customWidth="1"/>
    <col min="3308" max="3308" width="37.42578125" bestFit="1" customWidth="1"/>
    <col min="3309" max="3309" width="13.85546875" bestFit="1" customWidth="1"/>
    <col min="3310" max="3310" width="13.42578125" customWidth="1"/>
    <col min="3311" max="3311" width="7.85546875" bestFit="1" customWidth="1"/>
    <col min="3312" max="3312" width="13.28515625" customWidth="1"/>
    <col min="3313" max="3313" width="7.7109375" bestFit="1" customWidth="1"/>
    <col min="3314" max="3314" width="14.7109375" customWidth="1"/>
    <col min="3315" max="3315" width="7.85546875" bestFit="1" customWidth="1"/>
    <col min="3564" max="3564" width="37.42578125" bestFit="1" customWidth="1"/>
    <col min="3565" max="3565" width="13.85546875" bestFit="1" customWidth="1"/>
    <col min="3566" max="3566" width="13.42578125" customWidth="1"/>
    <col min="3567" max="3567" width="7.85546875" bestFit="1" customWidth="1"/>
    <col min="3568" max="3568" width="13.28515625" customWidth="1"/>
    <col min="3569" max="3569" width="7.7109375" bestFit="1" customWidth="1"/>
    <col min="3570" max="3570" width="14.7109375" customWidth="1"/>
    <col min="3571" max="3571" width="7.85546875" bestFit="1" customWidth="1"/>
    <col min="3820" max="3820" width="37.42578125" bestFit="1" customWidth="1"/>
    <col min="3821" max="3821" width="13.85546875" bestFit="1" customWidth="1"/>
    <col min="3822" max="3822" width="13.42578125" customWidth="1"/>
    <col min="3823" max="3823" width="7.85546875" bestFit="1" customWidth="1"/>
    <col min="3824" max="3824" width="13.28515625" customWidth="1"/>
    <col min="3825" max="3825" width="7.7109375" bestFit="1" customWidth="1"/>
    <col min="3826" max="3826" width="14.7109375" customWidth="1"/>
    <col min="3827" max="3827" width="7.85546875" bestFit="1" customWidth="1"/>
    <col min="4076" max="4076" width="37.42578125" bestFit="1" customWidth="1"/>
    <col min="4077" max="4077" width="13.85546875" bestFit="1" customWidth="1"/>
    <col min="4078" max="4078" width="13.42578125" customWidth="1"/>
    <col min="4079" max="4079" width="7.85546875" bestFit="1" customWidth="1"/>
    <col min="4080" max="4080" width="13.28515625" customWidth="1"/>
    <col min="4081" max="4081" width="7.7109375" bestFit="1" customWidth="1"/>
    <col min="4082" max="4082" width="14.7109375" customWidth="1"/>
    <col min="4083" max="4083" width="7.85546875" bestFit="1" customWidth="1"/>
    <col min="4332" max="4332" width="37.42578125" bestFit="1" customWidth="1"/>
    <col min="4333" max="4333" width="13.85546875" bestFit="1" customWidth="1"/>
    <col min="4334" max="4334" width="13.42578125" customWidth="1"/>
    <col min="4335" max="4335" width="7.85546875" bestFit="1" customWidth="1"/>
    <col min="4336" max="4336" width="13.28515625" customWidth="1"/>
    <col min="4337" max="4337" width="7.7109375" bestFit="1" customWidth="1"/>
    <col min="4338" max="4338" width="14.7109375" customWidth="1"/>
    <col min="4339" max="4339" width="7.85546875" bestFit="1" customWidth="1"/>
    <col min="4588" max="4588" width="37.42578125" bestFit="1" customWidth="1"/>
    <col min="4589" max="4589" width="13.85546875" bestFit="1" customWidth="1"/>
    <col min="4590" max="4590" width="13.42578125" customWidth="1"/>
    <col min="4591" max="4591" width="7.85546875" bestFit="1" customWidth="1"/>
    <col min="4592" max="4592" width="13.28515625" customWidth="1"/>
    <col min="4593" max="4593" width="7.7109375" bestFit="1" customWidth="1"/>
    <col min="4594" max="4594" width="14.7109375" customWidth="1"/>
    <col min="4595" max="4595" width="7.85546875" bestFit="1" customWidth="1"/>
    <col min="4844" max="4844" width="37.42578125" bestFit="1" customWidth="1"/>
    <col min="4845" max="4845" width="13.85546875" bestFit="1" customWidth="1"/>
    <col min="4846" max="4846" width="13.42578125" customWidth="1"/>
    <col min="4847" max="4847" width="7.85546875" bestFit="1" customWidth="1"/>
    <col min="4848" max="4848" width="13.28515625" customWidth="1"/>
    <col min="4849" max="4849" width="7.7109375" bestFit="1" customWidth="1"/>
    <col min="4850" max="4850" width="14.7109375" customWidth="1"/>
    <col min="4851" max="4851" width="7.85546875" bestFit="1" customWidth="1"/>
    <col min="5100" max="5100" width="37.42578125" bestFit="1" customWidth="1"/>
    <col min="5101" max="5101" width="13.85546875" bestFit="1" customWidth="1"/>
    <col min="5102" max="5102" width="13.42578125" customWidth="1"/>
    <col min="5103" max="5103" width="7.85546875" bestFit="1" customWidth="1"/>
    <col min="5104" max="5104" width="13.28515625" customWidth="1"/>
    <col min="5105" max="5105" width="7.7109375" bestFit="1" customWidth="1"/>
    <col min="5106" max="5106" width="14.7109375" customWidth="1"/>
    <col min="5107" max="5107" width="7.85546875" bestFit="1" customWidth="1"/>
    <col min="5356" max="5356" width="37.42578125" bestFit="1" customWidth="1"/>
    <col min="5357" max="5357" width="13.85546875" bestFit="1" customWidth="1"/>
    <col min="5358" max="5358" width="13.42578125" customWidth="1"/>
    <col min="5359" max="5359" width="7.85546875" bestFit="1" customWidth="1"/>
    <col min="5360" max="5360" width="13.28515625" customWidth="1"/>
    <col min="5361" max="5361" width="7.7109375" bestFit="1" customWidth="1"/>
    <col min="5362" max="5362" width="14.7109375" customWidth="1"/>
    <col min="5363" max="5363" width="7.85546875" bestFit="1" customWidth="1"/>
    <col min="5612" max="5612" width="37.42578125" bestFit="1" customWidth="1"/>
    <col min="5613" max="5613" width="13.85546875" bestFit="1" customWidth="1"/>
    <col min="5614" max="5614" width="13.42578125" customWidth="1"/>
    <col min="5615" max="5615" width="7.85546875" bestFit="1" customWidth="1"/>
    <col min="5616" max="5616" width="13.28515625" customWidth="1"/>
    <col min="5617" max="5617" width="7.7109375" bestFit="1" customWidth="1"/>
    <col min="5618" max="5618" width="14.7109375" customWidth="1"/>
    <col min="5619" max="5619" width="7.85546875" bestFit="1" customWidth="1"/>
    <col min="5868" max="5868" width="37.42578125" bestFit="1" customWidth="1"/>
    <col min="5869" max="5869" width="13.85546875" bestFit="1" customWidth="1"/>
    <col min="5870" max="5870" width="13.42578125" customWidth="1"/>
    <col min="5871" max="5871" width="7.85546875" bestFit="1" customWidth="1"/>
    <col min="5872" max="5872" width="13.28515625" customWidth="1"/>
    <col min="5873" max="5873" width="7.7109375" bestFit="1" customWidth="1"/>
    <col min="5874" max="5874" width="14.7109375" customWidth="1"/>
    <col min="5875" max="5875" width="7.85546875" bestFit="1" customWidth="1"/>
    <col min="6124" max="6124" width="37.42578125" bestFit="1" customWidth="1"/>
    <col min="6125" max="6125" width="13.85546875" bestFit="1" customWidth="1"/>
    <col min="6126" max="6126" width="13.42578125" customWidth="1"/>
    <col min="6127" max="6127" width="7.85546875" bestFit="1" customWidth="1"/>
    <col min="6128" max="6128" width="13.28515625" customWidth="1"/>
    <col min="6129" max="6129" width="7.7109375" bestFit="1" customWidth="1"/>
    <col min="6130" max="6130" width="14.7109375" customWidth="1"/>
    <col min="6131" max="6131" width="7.85546875" bestFit="1" customWidth="1"/>
    <col min="6380" max="6380" width="37.42578125" bestFit="1" customWidth="1"/>
    <col min="6381" max="6381" width="13.85546875" bestFit="1" customWidth="1"/>
    <col min="6382" max="6382" width="13.42578125" customWidth="1"/>
    <col min="6383" max="6383" width="7.85546875" bestFit="1" customWidth="1"/>
    <col min="6384" max="6384" width="13.28515625" customWidth="1"/>
    <col min="6385" max="6385" width="7.7109375" bestFit="1" customWidth="1"/>
    <col min="6386" max="6386" width="14.7109375" customWidth="1"/>
    <col min="6387" max="6387" width="7.85546875" bestFit="1" customWidth="1"/>
    <col min="6636" max="6636" width="37.42578125" bestFit="1" customWidth="1"/>
    <col min="6637" max="6637" width="13.85546875" bestFit="1" customWidth="1"/>
    <col min="6638" max="6638" width="13.42578125" customWidth="1"/>
    <col min="6639" max="6639" width="7.85546875" bestFit="1" customWidth="1"/>
    <col min="6640" max="6640" width="13.28515625" customWidth="1"/>
    <col min="6641" max="6641" width="7.7109375" bestFit="1" customWidth="1"/>
    <col min="6642" max="6642" width="14.7109375" customWidth="1"/>
    <col min="6643" max="6643" width="7.85546875" bestFit="1" customWidth="1"/>
    <col min="6892" max="6892" width="37.42578125" bestFit="1" customWidth="1"/>
    <col min="6893" max="6893" width="13.85546875" bestFit="1" customWidth="1"/>
    <col min="6894" max="6894" width="13.42578125" customWidth="1"/>
    <col min="6895" max="6895" width="7.85546875" bestFit="1" customWidth="1"/>
    <col min="6896" max="6896" width="13.28515625" customWidth="1"/>
    <col min="6897" max="6897" width="7.7109375" bestFit="1" customWidth="1"/>
    <col min="6898" max="6898" width="14.7109375" customWidth="1"/>
    <col min="6899" max="6899" width="7.85546875" bestFit="1" customWidth="1"/>
    <col min="7148" max="7148" width="37.42578125" bestFit="1" customWidth="1"/>
    <col min="7149" max="7149" width="13.85546875" bestFit="1" customWidth="1"/>
    <col min="7150" max="7150" width="13.42578125" customWidth="1"/>
    <col min="7151" max="7151" width="7.85546875" bestFit="1" customWidth="1"/>
    <col min="7152" max="7152" width="13.28515625" customWidth="1"/>
    <col min="7153" max="7153" width="7.7109375" bestFit="1" customWidth="1"/>
    <col min="7154" max="7154" width="14.7109375" customWidth="1"/>
    <col min="7155" max="7155" width="7.85546875" bestFit="1" customWidth="1"/>
    <col min="7404" max="7404" width="37.42578125" bestFit="1" customWidth="1"/>
    <col min="7405" max="7405" width="13.85546875" bestFit="1" customWidth="1"/>
    <col min="7406" max="7406" width="13.42578125" customWidth="1"/>
    <col min="7407" max="7407" width="7.85546875" bestFit="1" customWidth="1"/>
    <col min="7408" max="7408" width="13.28515625" customWidth="1"/>
    <col min="7409" max="7409" width="7.7109375" bestFit="1" customWidth="1"/>
    <col min="7410" max="7410" width="14.7109375" customWidth="1"/>
    <col min="7411" max="7411" width="7.85546875" bestFit="1" customWidth="1"/>
    <col min="7660" max="7660" width="37.42578125" bestFit="1" customWidth="1"/>
    <col min="7661" max="7661" width="13.85546875" bestFit="1" customWidth="1"/>
    <col min="7662" max="7662" width="13.42578125" customWidth="1"/>
    <col min="7663" max="7663" width="7.85546875" bestFit="1" customWidth="1"/>
    <col min="7664" max="7664" width="13.28515625" customWidth="1"/>
    <col min="7665" max="7665" width="7.7109375" bestFit="1" customWidth="1"/>
    <col min="7666" max="7666" width="14.7109375" customWidth="1"/>
    <col min="7667" max="7667" width="7.85546875" bestFit="1" customWidth="1"/>
    <col min="7916" max="7916" width="37.42578125" bestFit="1" customWidth="1"/>
    <col min="7917" max="7917" width="13.85546875" bestFit="1" customWidth="1"/>
    <col min="7918" max="7918" width="13.42578125" customWidth="1"/>
    <col min="7919" max="7919" width="7.85546875" bestFit="1" customWidth="1"/>
    <col min="7920" max="7920" width="13.28515625" customWidth="1"/>
    <col min="7921" max="7921" width="7.7109375" bestFit="1" customWidth="1"/>
    <col min="7922" max="7922" width="14.7109375" customWidth="1"/>
    <col min="7923" max="7923" width="7.85546875" bestFit="1" customWidth="1"/>
    <col min="8172" max="8172" width="37.42578125" bestFit="1" customWidth="1"/>
    <col min="8173" max="8173" width="13.85546875" bestFit="1" customWidth="1"/>
    <col min="8174" max="8174" width="13.42578125" customWidth="1"/>
    <col min="8175" max="8175" width="7.85546875" bestFit="1" customWidth="1"/>
    <col min="8176" max="8176" width="13.28515625" customWidth="1"/>
    <col min="8177" max="8177" width="7.7109375" bestFit="1" customWidth="1"/>
    <col min="8178" max="8178" width="14.7109375" customWidth="1"/>
    <col min="8179" max="8179" width="7.85546875" bestFit="1" customWidth="1"/>
    <col min="8428" max="8428" width="37.42578125" bestFit="1" customWidth="1"/>
    <col min="8429" max="8429" width="13.85546875" bestFit="1" customWidth="1"/>
    <col min="8430" max="8430" width="13.42578125" customWidth="1"/>
    <col min="8431" max="8431" width="7.85546875" bestFit="1" customWidth="1"/>
    <col min="8432" max="8432" width="13.28515625" customWidth="1"/>
    <col min="8433" max="8433" width="7.7109375" bestFit="1" customWidth="1"/>
    <col min="8434" max="8434" width="14.7109375" customWidth="1"/>
    <col min="8435" max="8435" width="7.85546875" bestFit="1" customWidth="1"/>
    <col min="8684" max="8684" width="37.42578125" bestFit="1" customWidth="1"/>
    <col min="8685" max="8685" width="13.85546875" bestFit="1" customWidth="1"/>
    <col min="8686" max="8686" width="13.42578125" customWidth="1"/>
    <col min="8687" max="8687" width="7.85546875" bestFit="1" customWidth="1"/>
    <col min="8688" max="8688" width="13.28515625" customWidth="1"/>
    <col min="8689" max="8689" width="7.7109375" bestFit="1" customWidth="1"/>
    <col min="8690" max="8690" width="14.7109375" customWidth="1"/>
    <col min="8691" max="8691" width="7.85546875" bestFit="1" customWidth="1"/>
    <col min="8940" max="8940" width="37.42578125" bestFit="1" customWidth="1"/>
    <col min="8941" max="8941" width="13.85546875" bestFit="1" customWidth="1"/>
    <col min="8942" max="8942" width="13.42578125" customWidth="1"/>
    <col min="8943" max="8943" width="7.85546875" bestFit="1" customWidth="1"/>
    <col min="8944" max="8944" width="13.28515625" customWidth="1"/>
    <col min="8945" max="8945" width="7.7109375" bestFit="1" customWidth="1"/>
    <col min="8946" max="8946" width="14.7109375" customWidth="1"/>
    <col min="8947" max="8947" width="7.85546875" bestFit="1" customWidth="1"/>
    <col min="9196" max="9196" width="37.42578125" bestFit="1" customWidth="1"/>
    <col min="9197" max="9197" width="13.85546875" bestFit="1" customWidth="1"/>
    <col min="9198" max="9198" width="13.42578125" customWidth="1"/>
    <col min="9199" max="9199" width="7.85546875" bestFit="1" customWidth="1"/>
    <col min="9200" max="9200" width="13.28515625" customWidth="1"/>
    <col min="9201" max="9201" width="7.7109375" bestFit="1" customWidth="1"/>
    <col min="9202" max="9202" width="14.7109375" customWidth="1"/>
    <col min="9203" max="9203" width="7.85546875" bestFit="1" customWidth="1"/>
    <col min="9452" max="9452" width="37.42578125" bestFit="1" customWidth="1"/>
    <col min="9453" max="9453" width="13.85546875" bestFit="1" customWidth="1"/>
    <col min="9454" max="9454" width="13.42578125" customWidth="1"/>
    <col min="9455" max="9455" width="7.85546875" bestFit="1" customWidth="1"/>
    <col min="9456" max="9456" width="13.28515625" customWidth="1"/>
    <col min="9457" max="9457" width="7.7109375" bestFit="1" customWidth="1"/>
    <col min="9458" max="9458" width="14.7109375" customWidth="1"/>
    <col min="9459" max="9459" width="7.85546875" bestFit="1" customWidth="1"/>
    <col min="9708" max="9708" width="37.42578125" bestFit="1" customWidth="1"/>
    <col min="9709" max="9709" width="13.85546875" bestFit="1" customWidth="1"/>
    <col min="9710" max="9710" width="13.42578125" customWidth="1"/>
    <col min="9711" max="9711" width="7.85546875" bestFit="1" customWidth="1"/>
    <col min="9712" max="9712" width="13.28515625" customWidth="1"/>
    <col min="9713" max="9713" width="7.7109375" bestFit="1" customWidth="1"/>
    <col min="9714" max="9714" width="14.7109375" customWidth="1"/>
    <col min="9715" max="9715" width="7.85546875" bestFit="1" customWidth="1"/>
    <col min="9964" max="9964" width="37.42578125" bestFit="1" customWidth="1"/>
    <col min="9965" max="9965" width="13.85546875" bestFit="1" customWidth="1"/>
    <col min="9966" max="9966" width="13.42578125" customWidth="1"/>
    <col min="9967" max="9967" width="7.85546875" bestFit="1" customWidth="1"/>
    <col min="9968" max="9968" width="13.28515625" customWidth="1"/>
    <col min="9969" max="9969" width="7.7109375" bestFit="1" customWidth="1"/>
    <col min="9970" max="9970" width="14.7109375" customWidth="1"/>
    <col min="9971" max="9971" width="7.85546875" bestFit="1" customWidth="1"/>
    <col min="10220" max="10220" width="37.42578125" bestFit="1" customWidth="1"/>
    <col min="10221" max="10221" width="13.85546875" bestFit="1" customWidth="1"/>
    <col min="10222" max="10222" width="13.42578125" customWidth="1"/>
    <col min="10223" max="10223" width="7.85546875" bestFit="1" customWidth="1"/>
    <col min="10224" max="10224" width="13.28515625" customWidth="1"/>
    <col min="10225" max="10225" width="7.7109375" bestFit="1" customWidth="1"/>
    <col min="10226" max="10226" width="14.7109375" customWidth="1"/>
    <col min="10227" max="10227" width="7.85546875" bestFit="1" customWidth="1"/>
    <col min="10476" max="10476" width="37.42578125" bestFit="1" customWidth="1"/>
    <col min="10477" max="10477" width="13.85546875" bestFit="1" customWidth="1"/>
    <col min="10478" max="10478" width="13.42578125" customWidth="1"/>
    <col min="10479" max="10479" width="7.85546875" bestFit="1" customWidth="1"/>
    <col min="10480" max="10480" width="13.28515625" customWidth="1"/>
    <col min="10481" max="10481" width="7.7109375" bestFit="1" customWidth="1"/>
    <col min="10482" max="10482" width="14.7109375" customWidth="1"/>
    <col min="10483" max="10483" width="7.85546875" bestFit="1" customWidth="1"/>
    <col min="10732" max="10732" width="37.42578125" bestFit="1" customWidth="1"/>
    <col min="10733" max="10733" width="13.85546875" bestFit="1" customWidth="1"/>
    <col min="10734" max="10734" width="13.42578125" customWidth="1"/>
    <col min="10735" max="10735" width="7.85546875" bestFit="1" customWidth="1"/>
    <col min="10736" max="10736" width="13.28515625" customWidth="1"/>
    <col min="10737" max="10737" width="7.7109375" bestFit="1" customWidth="1"/>
    <col min="10738" max="10738" width="14.7109375" customWidth="1"/>
    <col min="10739" max="10739" width="7.85546875" bestFit="1" customWidth="1"/>
    <col min="10988" max="10988" width="37.42578125" bestFit="1" customWidth="1"/>
    <col min="10989" max="10989" width="13.85546875" bestFit="1" customWidth="1"/>
    <col min="10990" max="10990" width="13.42578125" customWidth="1"/>
    <col min="10991" max="10991" width="7.85546875" bestFit="1" customWidth="1"/>
    <col min="10992" max="10992" width="13.28515625" customWidth="1"/>
    <col min="10993" max="10993" width="7.7109375" bestFit="1" customWidth="1"/>
    <col min="10994" max="10994" width="14.7109375" customWidth="1"/>
    <col min="10995" max="10995" width="7.85546875" bestFit="1" customWidth="1"/>
    <col min="11244" max="11244" width="37.42578125" bestFit="1" customWidth="1"/>
    <col min="11245" max="11245" width="13.85546875" bestFit="1" customWidth="1"/>
    <col min="11246" max="11246" width="13.42578125" customWidth="1"/>
    <col min="11247" max="11247" width="7.85546875" bestFit="1" customWidth="1"/>
    <col min="11248" max="11248" width="13.28515625" customWidth="1"/>
    <col min="11249" max="11249" width="7.7109375" bestFit="1" customWidth="1"/>
    <col min="11250" max="11250" width="14.7109375" customWidth="1"/>
    <col min="11251" max="11251" width="7.85546875" bestFit="1" customWidth="1"/>
    <col min="11500" max="11500" width="37.42578125" bestFit="1" customWidth="1"/>
    <col min="11501" max="11501" width="13.85546875" bestFit="1" customWidth="1"/>
    <col min="11502" max="11502" width="13.42578125" customWidth="1"/>
    <col min="11503" max="11503" width="7.85546875" bestFit="1" customWidth="1"/>
    <col min="11504" max="11504" width="13.28515625" customWidth="1"/>
    <col min="11505" max="11505" width="7.7109375" bestFit="1" customWidth="1"/>
    <col min="11506" max="11506" width="14.7109375" customWidth="1"/>
    <col min="11507" max="11507" width="7.85546875" bestFit="1" customWidth="1"/>
    <col min="11756" max="11756" width="37.42578125" bestFit="1" customWidth="1"/>
    <col min="11757" max="11757" width="13.85546875" bestFit="1" customWidth="1"/>
    <col min="11758" max="11758" width="13.42578125" customWidth="1"/>
    <col min="11759" max="11759" width="7.85546875" bestFit="1" customWidth="1"/>
    <col min="11760" max="11760" width="13.28515625" customWidth="1"/>
    <col min="11761" max="11761" width="7.7109375" bestFit="1" customWidth="1"/>
    <col min="11762" max="11762" width="14.7109375" customWidth="1"/>
    <col min="11763" max="11763" width="7.85546875" bestFit="1" customWidth="1"/>
    <col min="12012" max="12012" width="37.42578125" bestFit="1" customWidth="1"/>
    <col min="12013" max="12013" width="13.85546875" bestFit="1" customWidth="1"/>
    <col min="12014" max="12014" width="13.42578125" customWidth="1"/>
    <col min="12015" max="12015" width="7.85546875" bestFit="1" customWidth="1"/>
    <col min="12016" max="12016" width="13.28515625" customWidth="1"/>
    <col min="12017" max="12017" width="7.7109375" bestFit="1" customWidth="1"/>
    <col min="12018" max="12018" width="14.7109375" customWidth="1"/>
    <col min="12019" max="12019" width="7.85546875" bestFit="1" customWidth="1"/>
    <col min="12268" max="12268" width="37.42578125" bestFit="1" customWidth="1"/>
    <col min="12269" max="12269" width="13.85546875" bestFit="1" customWidth="1"/>
    <col min="12270" max="12270" width="13.42578125" customWidth="1"/>
    <col min="12271" max="12271" width="7.85546875" bestFit="1" customWidth="1"/>
    <col min="12272" max="12272" width="13.28515625" customWidth="1"/>
    <col min="12273" max="12273" width="7.7109375" bestFit="1" customWidth="1"/>
    <col min="12274" max="12274" width="14.7109375" customWidth="1"/>
    <col min="12275" max="12275" width="7.85546875" bestFit="1" customWidth="1"/>
    <col min="12524" max="12524" width="37.42578125" bestFit="1" customWidth="1"/>
    <col min="12525" max="12525" width="13.85546875" bestFit="1" customWidth="1"/>
    <col min="12526" max="12526" width="13.42578125" customWidth="1"/>
    <col min="12527" max="12527" width="7.85546875" bestFit="1" customWidth="1"/>
    <col min="12528" max="12528" width="13.28515625" customWidth="1"/>
    <col min="12529" max="12529" width="7.7109375" bestFit="1" customWidth="1"/>
    <col min="12530" max="12530" width="14.7109375" customWidth="1"/>
    <col min="12531" max="12531" width="7.85546875" bestFit="1" customWidth="1"/>
    <col min="12780" max="12780" width="37.42578125" bestFit="1" customWidth="1"/>
    <col min="12781" max="12781" width="13.85546875" bestFit="1" customWidth="1"/>
    <col min="12782" max="12782" width="13.42578125" customWidth="1"/>
    <col min="12783" max="12783" width="7.85546875" bestFit="1" customWidth="1"/>
    <col min="12784" max="12784" width="13.28515625" customWidth="1"/>
    <col min="12785" max="12785" width="7.7109375" bestFit="1" customWidth="1"/>
    <col min="12786" max="12786" width="14.7109375" customWidth="1"/>
    <col min="12787" max="12787" width="7.85546875" bestFit="1" customWidth="1"/>
    <col min="13036" max="13036" width="37.42578125" bestFit="1" customWidth="1"/>
    <col min="13037" max="13037" width="13.85546875" bestFit="1" customWidth="1"/>
    <col min="13038" max="13038" width="13.42578125" customWidth="1"/>
    <col min="13039" max="13039" width="7.85546875" bestFit="1" customWidth="1"/>
    <col min="13040" max="13040" width="13.28515625" customWidth="1"/>
    <col min="13041" max="13041" width="7.7109375" bestFit="1" customWidth="1"/>
    <col min="13042" max="13042" width="14.7109375" customWidth="1"/>
    <col min="13043" max="13043" width="7.85546875" bestFit="1" customWidth="1"/>
    <col min="13292" max="13292" width="37.42578125" bestFit="1" customWidth="1"/>
    <col min="13293" max="13293" width="13.85546875" bestFit="1" customWidth="1"/>
    <col min="13294" max="13294" width="13.42578125" customWidth="1"/>
    <col min="13295" max="13295" width="7.85546875" bestFit="1" customWidth="1"/>
    <col min="13296" max="13296" width="13.28515625" customWidth="1"/>
    <col min="13297" max="13297" width="7.7109375" bestFit="1" customWidth="1"/>
    <col min="13298" max="13298" width="14.7109375" customWidth="1"/>
    <col min="13299" max="13299" width="7.85546875" bestFit="1" customWidth="1"/>
    <col min="13548" max="13548" width="37.42578125" bestFit="1" customWidth="1"/>
    <col min="13549" max="13549" width="13.85546875" bestFit="1" customWidth="1"/>
    <col min="13550" max="13550" width="13.42578125" customWidth="1"/>
    <col min="13551" max="13551" width="7.85546875" bestFit="1" customWidth="1"/>
    <col min="13552" max="13552" width="13.28515625" customWidth="1"/>
    <col min="13553" max="13553" width="7.7109375" bestFit="1" customWidth="1"/>
    <col min="13554" max="13554" width="14.7109375" customWidth="1"/>
    <col min="13555" max="13555" width="7.85546875" bestFit="1" customWidth="1"/>
    <col min="13804" max="13804" width="37.42578125" bestFit="1" customWidth="1"/>
    <col min="13805" max="13805" width="13.85546875" bestFit="1" customWidth="1"/>
    <col min="13806" max="13806" width="13.42578125" customWidth="1"/>
    <col min="13807" max="13807" width="7.85546875" bestFit="1" customWidth="1"/>
    <col min="13808" max="13808" width="13.28515625" customWidth="1"/>
    <col min="13809" max="13809" width="7.7109375" bestFit="1" customWidth="1"/>
    <col min="13810" max="13810" width="14.7109375" customWidth="1"/>
    <col min="13811" max="13811" width="7.85546875" bestFit="1" customWidth="1"/>
    <col min="14060" max="14060" width="37.42578125" bestFit="1" customWidth="1"/>
    <col min="14061" max="14061" width="13.85546875" bestFit="1" customWidth="1"/>
    <col min="14062" max="14062" width="13.42578125" customWidth="1"/>
    <col min="14063" max="14063" width="7.85546875" bestFit="1" customWidth="1"/>
    <col min="14064" max="14064" width="13.28515625" customWidth="1"/>
    <col min="14065" max="14065" width="7.7109375" bestFit="1" customWidth="1"/>
    <col min="14066" max="14066" width="14.7109375" customWidth="1"/>
    <col min="14067" max="14067" width="7.85546875" bestFit="1" customWidth="1"/>
    <col min="14316" max="14316" width="37.42578125" bestFit="1" customWidth="1"/>
    <col min="14317" max="14317" width="13.85546875" bestFit="1" customWidth="1"/>
    <col min="14318" max="14318" width="13.42578125" customWidth="1"/>
    <col min="14319" max="14319" width="7.85546875" bestFit="1" customWidth="1"/>
    <col min="14320" max="14320" width="13.28515625" customWidth="1"/>
    <col min="14321" max="14321" width="7.7109375" bestFit="1" customWidth="1"/>
    <col min="14322" max="14322" width="14.7109375" customWidth="1"/>
    <col min="14323" max="14323" width="7.85546875" bestFit="1" customWidth="1"/>
    <col min="14572" max="14572" width="37.42578125" bestFit="1" customWidth="1"/>
    <col min="14573" max="14573" width="13.85546875" bestFit="1" customWidth="1"/>
    <col min="14574" max="14574" width="13.42578125" customWidth="1"/>
    <col min="14575" max="14575" width="7.85546875" bestFit="1" customWidth="1"/>
    <col min="14576" max="14576" width="13.28515625" customWidth="1"/>
    <col min="14577" max="14577" width="7.7109375" bestFit="1" customWidth="1"/>
    <col min="14578" max="14578" width="14.7109375" customWidth="1"/>
    <col min="14579" max="14579" width="7.85546875" bestFit="1" customWidth="1"/>
    <col min="14828" max="14828" width="37.42578125" bestFit="1" customWidth="1"/>
    <col min="14829" max="14829" width="13.85546875" bestFit="1" customWidth="1"/>
    <col min="14830" max="14830" width="13.42578125" customWidth="1"/>
    <col min="14831" max="14831" width="7.85546875" bestFit="1" customWidth="1"/>
    <col min="14832" max="14832" width="13.28515625" customWidth="1"/>
    <col min="14833" max="14833" width="7.7109375" bestFit="1" customWidth="1"/>
    <col min="14834" max="14834" width="14.7109375" customWidth="1"/>
    <col min="14835" max="14835" width="7.85546875" bestFit="1" customWidth="1"/>
    <col min="15084" max="15084" width="37.42578125" bestFit="1" customWidth="1"/>
    <col min="15085" max="15085" width="13.85546875" bestFit="1" customWidth="1"/>
    <col min="15086" max="15086" width="13.42578125" customWidth="1"/>
    <col min="15087" max="15087" width="7.85546875" bestFit="1" customWidth="1"/>
    <col min="15088" max="15088" width="13.28515625" customWidth="1"/>
    <col min="15089" max="15089" width="7.7109375" bestFit="1" customWidth="1"/>
    <col min="15090" max="15090" width="14.7109375" customWidth="1"/>
    <col min="15091" max="15091" width="7.85546875" bestFit="1" customWidth="1"/>
    <col min="15340" max="15340" width="37.42578125" bestFit="1" customWidth="1"/>
    <col min="15341" max="15341" width="13.85546875" bestFit="1" customWidth="1"/>
    <col min="15342" max="15342" width="13.42578125" customWidth="1"/>
    <col min="15343" max="15343" width="7.85546875" bestFit="1" customWidth="1"/>
    <col min="15344" max="15344" width="13.28515625" customWidth="1"/>
    <col min="15345" max="15345" width="7.7109375" bestFit="1" customWidth="1"/>
    <col min="15346" max="15346" width="14.7109375" customWidth="1"/>
    <col min="15347" max="15347" width="7.85546875" bestFit="1" customWidth="1"/>
    <col min="15596" max="15596" width="37.42578125" bestFit="1" customWidth="1"/>
    <col min="15597" max="15597" width="13.85546875" bestFit="1" customWidth="1"/>
    <col min="15598" max="15598" width="13.42578125" customWidth="1"/>
    <col min="15599" max="15599" width="7.85546875" bestFit="1" customWidth="1"/>
    <col min="15600" max="15600" width="13.28515625" customWidth="1"/>
    <col min="15601" max="15601" width="7.7109375" bestFit="1" customWidth="1"/>
    <col min="15602" max="15602" width="14.7109375" customWidth="1"/>
    <col min="15603" max="15603" width="7.85546875" bestFit="1" customWidth="1"/>
    <col min="15852" max="15852" width="37.42578125" bestFit="1" customWidth="1"/>
    <col min="15853" max="15853" width="13.85546875" bestFit="1" customWidth="1"/>
    <col min="15854" max="15854" width="13.42578125" customWidth="1"/>
    <col min="15855" max="15855" width="7.85546875" bestFit="1" customWidth="1"/>
    <col min="15856" max="15856" width="13.28515625" customWidth="1"/>
    <col min="15857" max="15857" width="7.7109375" bestFit="1" customWidth="1"/>
    <col min="15858" max="15858" width="14.7109375" customWidth="1"/>
    <col min="15859" max="15859" width="7.85546875" bestFit="1" customWidth="1"/>
    <col min="16108" max="16108" width="37.42578125" bestFit="1" customWidth="1"/>
    <col min="16109" max="16109" width="13.85546875" bestFit="1" customWidth="1"/>
    <col min="16110" max="16110" width="13.42578125" customWidth="1"/>
    <col min="16111" max="16111" width="7.85546875" bestFit="1" customWidth="1"/>
    <col min="16112" max="16112" width="13.28515625" customWidth="1"/>
    <col min="16113" max="16113" width="7.7109375" bestFit="1" customWidth="1"/>
    <col min="16114" max="16114" width="14.7109375" customWidth="1"/>
    <col min="16115" max="16115" width="7.85546875" bestFit="1" customWidth="1"/>
  </cols>
  <sheetData>
    <row r="3" spans="2:14" x14ac:dyDescent="0.25">
      <c r="C3" s="40" t="e">
        <f>+#REF!</f>
        <v>#REF!</v>
      </c>
    </row>
    <row r="4" spans="2:14" x14ac:dyDescent="0.25">
      <c r="B4" s="116" t="s">
        <v>10</v>
      </c>
      <c r="C4" s="155"/>
      <c r="D4" s="156"/>
      <c r="E4" s="45"/>
      <c r="F4" s="157"/>
      <c r="G4" s="154" t="s">
        <v>86</v>
      </c>
      <c r="H4" s="158" t="s">
        <v>1</v>
      </c>
    </row>
    <row r="5" spans="2:14" ht="16.5" x14ac:dyDescent="0.25">
      <c r="B5" s="116" t="s">
        <v>11</v>
      </c>
      <c r="C5" s="50">
        <f>12030.5715204804-205</f>
        <v>11825.5715204804</v>
      </c>
      <c r="D5" s="60" t="e">
        <f>+C5/#REF!</f>
        <v>#REF!</v>
      </c>
      <c r="E5" s="12">
        <f>11970+680-11+86</f>
        <v>12725</v>
      </c>
      <c r="F5" s="53" t="e">
        <f>+E5/#REF!</f>
        <v>#REF!</v>
      </c>
      <c r="G5" s="12">
        <f>13726+930+169</f>
        <v>14825</v>
      </c>
      <c r="H5" s="159">
        <f>(+G5/$G$8)*100</f>
        <v>52.270643819194696</v>
      </c>
      <c r="I5" s="109"/>
    </row>
    <row r="6" spans="2:14" ht="16.5" x14ac:dyDescent="0.25">
      <c r="B6" s="116" t="s">
        <v>84</v>
      </c>
      <c r="C6" s="50"/>
      <c r="D6" s="60"/>
      <c r="E6" s="12"/>
      <c r="F6" s="53"/>
      <c r="G6" s="12">
        <f>4283+672+173</f>
        <v>5128</v>
      </c>
      <c r="H6" s="159">
        <f>(+G6/$G$8)*100</f>
        <v>18.080530287003739</v>
      </c>
      <c r="L6">
        <f>13080-13537</f>
        <v>-457</v>
      </c>
    </row>
    <row r="7" spans="2:14" ht="16.5" x14ac:dyDescent="0.25">
      <c r="B7" s="116" t="s">
        <v>85</v>
      </c>
      <c r="C7" s="50"/>
      <c r="D7" s="60"/>
      <c r="E7" s="12"/>
      <c r="F7" s="53"/>
      <c r="G7" s="12">
        <f>7684+441+284</f>
        <v>8409</v>
      </c>
      <c r="H7" s="159">
        <f>(+G7/$G$8)*100</f>
        <v>29.648825893801568</v>
      </c>
    </row>
    <row r="8" spans="2:14" ht="16.5" x14ac:dyDescent="0.25">
      <c r="B8" s="128" t="s">
        <v>13</v>
      </c>
      <c r="C8" s="12" t="e">
        <f>+#REF!+C5</f>
        <v>#REF!</v>
      </c>
      <c r="D8" s="60" t="e">
        <f>+C8/#REF!</f>
        <v>#REF!</v>
      </c>
      <c r="E8" s="12" t="e">
        <f>+#REF!+E5</f>
        <v>#REF!</v>
      </c>
      <c r="F8" s="53" t="e">
        <f>+E8/#REF!</f>
        <v>#REF!</v>
      </c>
      <c r="G8" s="12">
        <f>+G7+G6+G5</f>
        <v>28362</v>
      </c>
      <c r="H8" s="159">
        <f>+H7+H6+H5</f>
        <v>100</v>
      </c>
      <c r="L8" s="20">
        <f>+G6</f>
        <v>5128</v>
      </c>
      <c r="M8">
        <f>+L8/L10</f>
        <v>0.37881362192509421</v>
      </c>
      <c r="N8">
        <f>+L6*M8</f>
        <v>-173.11782521976806</v>
      </c>
    </row>
    <row r="9" spans="2:14" x14ac:dyDescent="0.25">
      <c r="L9" s="20">
        <f>+G7</f>
        <v>8409</v>
      </c>
      <c r="M9">
        <f>+L9/L10</f>
        <v>0.62118637807490584</v>
      </c>
      <c r="N9">
        <f>+M9*L6</f>
        <v>-283.88217478023199</v>
      </c>
    </row>
    <row r="10" spans="2:14" x14ac:dyDescent="0.25">
      <c r="L10" s="20">
        <f>+L9+L8</f>
        <v>13537</v>
      </c>
    </row>
    <row r="12" spans="2:14" x14ac:dyDescent="0.25">
      <c r="C12"/>
      <c r="D12"/>
      <c r="E12"/>
      <c r="F12"/>
    </row>
    <row r="13" spans="2:14" x14ac:dyDescent="0.25">
      <c r="C13"/>
      <c r="D13"/>
      <c r="E13"/>
      <c r="F13"/>
    </row>
    <row r="14" spans="2:14" x14ac:dyDescent="0.25">
      <c r="C14"/>
      <c r="D14"/>
      <c r="E14"/>
      <c r="F14"/>
      <c r="G14" s="57"/>
    </row>
    <row r="15" spans="2:14" x14ac:dyDescent="0.25">
      <c r="C15"/>
      <c r="D15"/>
      <c r="E15"/>
      <c r="F15"/>
      <c r="G15" s="57"/>
    </row>
    <row r="16" spans="2:14" x14ac:dyDescent="0.25">
      <c r="G16" s="57"/>
    </row>
    <row r="18" spans="2:9" x14ac:dyDescent="0.25">
      <c r="C18"/>
      <c r="D18"/>
      <c r="E18"/>
      <c r="F18"/>
    </row>
    <row r="19" spans="2:9" x14ac:dyDescent="0.25">
      <c r="C19"/>
      <c r="D19"/>
      <c r="E19"/>
      <c r="F19"/>
    </row>
    <row r="20" spans="2:9" x14ac:dyDescent="0.25">
      <c r="G20" s="40"/>
    </row>
    <row r="21" spans="2:9" x14ac:dyDescent="0.25">
      <c r="G21" s="40"/>
      <c r="I21" s="39"/>
    </row>
    <row r="22" spans="2:9" x14ac:dyDescent="0.25">
      <c r="I22" s="39"/>
    </row>
    <row r="23" spans="2:9" x14ac:dyDescent="0.25">
      <c r="I23" s="39"/>
    </row>
    <row r="28" spans="2:9" s="40" customFormat="1" x14ac:dyDescent="0.25">
      <c r="B28"/>
      <c r="D28" s="36"/>
      <c r="E28" s="20"/>
      <c r="F28" s="36"/>
      <c r="G28"/>
      <c r="H28"/>
      <c r="I28"/>
    </row>
    <row r="29" spans="2:9" s="40" customFormat="1" x14ac:dyDescent="0.25">
      <c r="B29"/>
      <c r="D29" s="36"/>
      <c r="E29" s="20"/>
      <c r="F29" s="36"/>
      <c r="G29"/>
      <c r="H29"/>
      <c r="I29"/>
    </row>
    <row r="30" spans="2:9" s="40" customFormat="1" x14ac:dyDescent="0.25">
      <c r="B30"/>
      <c r="D30" s="36"/>
      <c r="E30" s="20"/>
      <c r="F30" s="36"/>
      <c r="G30"/>
      <c r="H30"/>
      <c r="I30"/>
    </row>
    <row r="31" spans="2:9" s="40" customFormat="1" x14ac:dyDescent="0.25">
      <c r="B31"/>
      <c r="D31" s="36"/>
      <c r="E31" s="20"/>
      <c r="F31" s="36"/>
      <c r="G31"/>
      <c r="H31"/>
      <c r="I31"/>
    </row>
  </sheetData>
  <pageMargins left="0.7" right="0.7" top="0.75" bottom="0.75" header="0.3" footer="0.3"/>
  <pageSetup orientation="portrait" r:id="rId1"/>
  <ignoredErrors>
    <ignoredError sqref="G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S126"/>
  <sheetViews>
    <sheetView topLeftCell="B5" zoomScale="80" zoomScaleNormal="80" workbookViewId="0">
      <selection activeCell="H10" sqref="H10"/>
    </sheetView>
  </sheetViews>
  <sheetFormatPr baseColWidth="10" defaultRowHeight="15" x14ac:dyDescent="0.25"/>
  <cols>
    <col min="2" max="2" width="67.140625" customWidth="1"/>
    <col min="3" max="3" width="21" hidden="1" customWidth="1"/>
    <col min="4" max="4" width="12.85546875" customWidth="1"/>
    <col min="5" max="5" width="8.5703125" customWidth="1"/>
    <col min="6" max="6" width="10" hidden="1" customWidth="1"/>
    <col min="7" max="7" width="9.7109375" hidden="1" customWidth="1"/>
    <col min="8" max="8" width="14.7109375" customWidth="1"/>
    <col min="9" max="9" width="8.140625" bestFit="1" customWidth="1"/>
    <col min="10" max="10" width="10.28515625" style="40" hidden="1" customWidth="1"/>
    <col min="11" max="11" width="8.7109375" style="36" hidden="1" customWidth="1"/>
    <col min="12" max="12" width="9.7109375" style="20" hidden="1" customWidth="1"/>
    <col min="13" max="13" width="7.5703125" style="36" hidden="1" customWidth="1"/>
    <col min="14" max="14" width="14.42578125" customWidth="1"/>
    <col min="15" max="15" width="11" customWidth="1"/>
    <col min="16" max="16" width="17.28515625" customWidth="1"/>
    <col min="17" max="17" width="14.85546875" customWidth="1"/>
    <col min="244" max="244" width="37.42578125" bestFit="1" customWidth="1"/>
    <col min="245" max="245" width="13.85546875" bestFit="1" customWidth="1"/>
    <col min="246" max="246" width="13.42578125" customWidth="1"/>
    <col min="247" max="247" width="7.85546875" bestFit="1" customWidth="1"/>
    <col min="248" max="248" width="13.28515625" customWidth="1"/>
    <col min="249" max="249" width="7.7109375" bestFit="1" customWidth="1"/>
    <col min="250" max="250" width="14.7109375" customWidth="1"/>
    <col min="251" max="251" width="7.85546875" bestFit="1" customWidth="1"/>
    <col min="500" max="500" width="37.42578125" bestFit="1" customWidth="1"/>
    <col min="501" max="501" width="13.85546875" bestFit="1" customWidth="1"/>
    <col min="502" max="502" width="13.42578125" customWidth="1"/>
    <col min="503" max="503" width="7.85546875" bestFit="1" customWidth="1"/>
    <col min="504" max="504" width="13.28515625" customWidth="1"/>
    <col min="505" max="505" width="7.7109375" bestFit="1" customWidth="1"/>
    <col min="506" max="506" width="14.7109375" customWidth="1"/>
    <col min="507" max="507" width="7.85546875" bestFit="1" customWidth="1"/>
    <col min="756" max="756" width="37.42578125" bestFit="1" customWidth="1"/>
    <col min="757" max="757" width="13.85546875" bestFit="1" customWidth="1"/>
    <col min="758" max="758" width="13.42578125" customWidth="1"/>
    <col min="759" max="759" width="7.85546875" bestFit="1" customWidth="1"/>
    <col min="760" max="760" width="13.28515625" customWidth="1"/>
    <col min="761" max="761" width="7.7109375" bestFit="1" customWidth="1"/>
    <col min="762" max="762" width="14.7109375" customWidth="1"/>
    <col min="763" max="763" width="7.85546875" bestFit="1" customWidth="1"/>
    <col min="1012" max="1012" width="37.42578125" bestFit="1" customWidth="1"/>
    <col min="1013" max="1013" width="13.85546875" bestFit="1" customWidth="1"/>
    <col min="1014" max="1014" width="13.42578125" customWidth="1"/>
    <col min="1015" max="1015" width="7.85546875" bestFit="1" customWidth="1"/>
    <col min="1016" max="1016" width="13.28515625" customWidth="1"/>
    <col min="1017" max="1017" width="7.7109375" bestFit="1" customWidth="1"/>
    <col min="1018" max="1018" width="14.7109375" customWidth="1"/>
    <col min="1019" max="1019" width="7.85546875" bestFit="1" customWidth="1"/>
    <col min="1268" max="1268" width="37.42578125" bestFit="1" customWidth="1"/>
    <col min="1269" max="1269" width="13.85546875" bestFit="1" customWidth="1"/>
    <col min="1270" max="1270" width="13.42578125" customWidth="1"/>
    <col min="1271" max="1271" width="7.85546875" bestFit="1" customWidth="1"/>
    <col min="1272" max="1272" width="13.28515625" customWidth="1"/>
    <col min="1273" max="1273" width="7.7109375" bestFit="1" customWidth="1"/>
    <col min="1274" max="1274" width="14.7109375" customWidth="1"/>
    <col min="1275" max="1275" width="7.85546875" bestFit="1" customWidth="1"/>
    <col min="1524" max="1524" width="37.42578125" bestFit="1" customWidth="1"/>
    <col min="1525" max="1525" width="13.85546875" bestFit="1" customWidth="1"/>
    <col min="1526" max="1526" width="13.42578125" customWidth="1"/>
    <col min="1527" max="1527" width="7.85546875" bestFit="1" customWidth="1"/>
    <col min="1528" max="1528" width="13.28515625" customWidth="1"/>
    <col min="1529" max="1529" width="7.7109375" bestFit="1" customWidth="1"/>
    <col min="1530" max="1530" width="14.7109375" customWidth="1"/>
    <col min="1531" max="1531" width="7.85546875" bestFit="1" customWidth="1"/>
    <col min="1780" max="1780" width="37.42578125" bestFit="1" customWidth="1"/>
    <col min="1781" max="1781" width="13.85546875" bestFit="1" customWidth="1"/>
    <col min="1782" max="1782" width="13.42578125" customWidth="1"/>
    <col min="1783" max="1783" width="7.85546875" bestFit="1" customWidth="1"/>
    <col min="1784" max="1784" width="13.28515625" customWidth="1"/>
    <col min="1785" max="1785" width="7.7109375" bestFit="1" customWidth="1"/>
    <col min="1786" max="1786" width="14.7109375" customWidth="1"/>
    <col min="1787" max="1787" width="7.85546875" bestFit="1" customWidth="1"/>
    <col min="2036" max="2036" width="37.42578125" bestFit="1" customWidth="1"/>
    <col min="2037" max="2037" width="13.85546875" bestFit="1" customWidth="1"/>
    <col min="2038" max="2038" width="13.42578125" customWidth="1"/>
    <col min="2039" max="2039" width="7.85546875" bestFit="1" customWidth="1"/>
    <col min="2040" max="2040" width="13.28515625" customWidth="1"/>
    <col min="2041" max="2041" width="7.7109375" bestFit="1" customWidth="1"/>
    <col min="2042" max="2042" width="14.7109375" customWidth="1"/>
    <col min="2043" max="2043" width="7.85546875" bestFit="1" customWidth="1"/>
    <col min="2292" max="2292" width="37.42578125" bestFit="1" customWidth="1"/>
    <col min="2293" max="2293" width="13.85546875" bestFit="1" customWidth="1"/>
    <col min="2294" max="2294" width="13.42578125" customWidth="1"/>
    <col min="2295" max="2295" width="7.85546875" bestFit="1" customWidth="1"/>
    <col min="2296" max="2296" width="13.28515625" customWidth="1"/>
    <col min="2297" max="2297" width="7.7109375" bestFit="1" customWidth="1"/>
    <col min="2298" max="2298" width="14.7109375" customWidth="1"/>
    <col min="2299" max="2299" width="7.85546875" bestFit="1" customWidth="1"/>
    <col min="2548" max="2548" width="37.42578125" bestFit="1" customWidth="1"/>
    <col min="2549" max="2549" width="13.85546875" bestFit="1" customWidth="1"/>
    <col min="2550" max="2550" width="13.42578125" customWidth="1"/>
    <col min="2551" max="2551" width="7.85546875" bestFit="1" customWidth="1"/>
    <col min="2552" max="2552" width="13.28515625" customWidth="1"/>
    <col min="2553" max="2553" width="7.7109375" bestFit="1" customWidth="1"/>
    <col min="2554" max="2554" width="14.7109375" customWidth="1"/>
    <col min="2555" max="2555" width="7.85546875" bestFit="1" customWidth="1"/>
    <col min="2804" max="2804" width="37.42578125" bestFit="1" customWidth="1"/>
    <col min="2805" max="2805" width="13.85546875" bestFit="1" customWidth="1"/>
    <col min="2806" max="2806" width="13.42578125" customWidth="1"/>
    <col min="2807" max="2807" width="7.85546875" bestFit="1" customWidth="1"/>
    <col min="2808" max="2808" width="13.28515625" customWidth="1"/>
    <col min="2809" max="2809" width="7.7109375" bestFit="1" customWidth="1"/>
    <col min="2810" max="2810" width="14.7109375" customWidth="1"/>
    <col min="2811" max="2811" width="7.85546875" bestFit="1" customWidth="1"/>
    <col min="3060" max="3060" width="37.42578125" bestFit="1" customWidth="1"/>
    <col min="3061" max="3061" width="13.85546875" bestFit="1" customWidth="1"/>
    <col min="3062" max="3062" width="13.42578125" customWidth="1"/>
    <col min="3063" max="3063" width="7.85546875" bestFit="1" customWidth="1"/>
    <col min="3064" max="3064" width="13.28515625" customWidth="1"/>
    <col min="3065" max="3065" width="7.7109375" bestFit="1" customWidth="1"/>
    <col min="3066" max="3066" width="14.7109375" customWidth="1"/>
    <col min="3067" max="3067" width="7.85546875" bestFit="1" customWidth="1"/>
    <col min="3316" max="3316" width="37.42578125" bestFit="1" customWidth="1"/>
    <col min="3317" max="3317" width="13.85546875" bestFit="1" customWidth="1"/>
    <col min="3318" max="3318" width="13.42578125" customWidth="1"/>
    <col min="3319" max="3319" width="7.85546875" bestFit="1" customWidth="1"/>
    <col min="3320" max="3320" width="13.28515625" customWidth="1"/>
    <col min="3321" max="3321" width="7.7109375" bestFit="1" customWidth="1"/>
    <col min="3322" max="3322" width="14.7109375" customWidth="1"/>
    <col min="3323" max="3323" width="7.85546875" bestFit="1" customWidth="1"/>
    <col min="3572" max="3572" width="37.42578125" bestFit="1" customWidth="1"/>
    <col min="3573" max="3573" width="13.85546875" bestFit="1" customWidth="1"/>
    <col min="3574" max="3574" width="13.42578125" customWidth="1"/>
    <col min="3575" max="3575" width="7.85546875" bestFit="1" customWidth="1"/>
    <col min="3576" max="3576" width="13.28515625" customWidth="1"/>
    <col min="3577" max="3577" width="7.7109375" bestFit="1" customWidth="1"/>
    <col min="3578" max="3578" width="14.7109375" customWidth="1"/>
    <col min="3579" max="3579" width="7.85546875" bestFit="1" customWidth="1"/>
    <col min="3828" max="3828" width="37.42578125" bestFit="1" customWidth="1"/>
    <col min="3829" max="3829" width="13.85546875" bestFit="1" customWidth="1"/>
    <col min="3830" max="3830" width="13.42578125" customWidth="1"/>
    <col min="3831" max="3831" width="7.85546875" bestFit="1" customWidth="1"/>
    <col min="3832" max="3832" width="13.28515625" customWidth="1"/>
    <col min="3833" max="3833" width="7.7109375" bestFit="1" customWidth="1"/>
    <col min="3834" max="3834" width="14.7109375" customWidth="1"/>
    <col min="3835" max="3835" width="7.85546875" bestFit="1" customWidth="1"/>
    <col min="4084" max="4084" width="37.42578125" bestFit="1" customWidth="1"/>
    <col min="4085" max="4085" width="13.85546875" bestFit="1" customWidth="1"/>
    <col min="4086" max="4086" width="13.42578125" customWidth="1"/>
    <col min="4087" max="4087" width="7.85546875" bestFit="1" customWidth="1"/>
    <col min="4088" max="4088" width="13.28515625" customWidth="1"/>
    <col min="4089" max="4089" width="7.7109375" bestFit="1" customWidth="1"/>
    <col min="4090" max="4090" width="14.7109375" customWidth="1"/>
    <col min="4091" max="4091" width="7.85546875" bestFit="1" customWidth="1"/>
    <col min="4340" max="4340" width="37.42578125" bestFit="1" customWidth="1"/>
    <col min="4341" max="4341" width="13.85546875" bestFit="1" customWidth="1"/>
    <col min="4342" max="4342" width="13.42578125" customWidth="1"/>
    <col min="4343" max="4343" width="7.85546875" bestFit="1" customWidth="1"/>
    <col min="4344" max="4344" width="13.28515625" customWidth="1"/>
    <col min="4345" max="4345" width="7.7109375" bestFit="1" customWidth="1"/>
    <col min="4346" max="4346" width="14.7109375" customWidth="1"/>
    <col min="4347" max="4347" width="7.85546875" bestFit="1" customWidth="1"/>
    <col min="4596" max="4596" width="37.42578125" bestFit="1" customWidth="1"/>
    <col min="4597" max="4597" width="13.85546875" bestFit="1" customWidth="1"/>
    <col min="4598" max="4598" width="13.42578125" customWidth="1"/>
    <col min="4599" max="4599" width="7.85546875" bestFit="1" customWidth="1"/>
    <col min="4600" max="4600" width="13.28515625" customWidth="1"/>
    <col min="4601" max="4601" width="7.7109375" bestFit="1" customWidth="1"/>
    <col min="4602" max="4602" width="14.7109375" customWidth="1"/>
    <col min="4603" max="4603" width="7.85546875" bestFit="1" customWidth="1"/>
    <col min="4852" max="4852" width="37.42578125" bestFit="1" customWidth="1"/>
    <col min="4853" max="4853" width="13.85546875" bestFit="1" customWidth="1"/>
    <col min="4854" max="4854" width="13.42578125" customWidth="1"/>
    <col min="4855" max="4855" width="7.85546875" bestFit="1" customWidth="1"/>
    <col min="4856" max="4856" width="13.28515625" customWidth="1"/>
    <col min="4857" max="4857" width="7.7109375" bestFit="1" customWidth="1"/>
    <col min="4858" max="4858" width="14.7109375" customWidth="1"/>
    <col min="4859" max="4859" width="7.85546875" bestFit="1" customWidth="1"/>
    <col min="5108" max="5108" width="37.42578125" bestFit="1" customWidth="1"/>
    <col min="5109" max="5109" width="13.85546875" bestFit="1" customWidth="1"/>
    <col min="5110" max="5110" width="13.42578125" customWidth="1"/>
    <col min="5111" max="5111" width="7.85546875" bestFit="1" customWidth="1"/>
    <col min="5112" max="5112" width="13.28515625" customWidth="1"/>
    <col min="5113" max="5113" width="7.7109375" bestFit="1" customWidth="1"/>
    <col min="5114" max="5114" width="14.7109375" customWidth="1"/>
    <col min="5115" max="5115" width="7.85546875" bestFit="1" customWidth="1"/>
    <col min="5364" max="5364" width="37.42578125" bestFit="1" customWidth="1"/>
    <col min="5365" max="5365" width="13.85546875" bestFit="1" customWidth="1"/>
    <col min="5366" max="5366" width="13.42578125" customWidth="1"/>
    <col min="5367" max="5367" width="7.85546875" bestFit="1" customWidth="1"/>
    <col min="5368" max="5368" width="13.28515625" customWidth="1"/>
    <col min="5369" max="5369" width="7.7109375" bestFit="1" customWidth="1"/>
    <col min="5370" max="5370" width="14.7109375" customWidth="1"/>
    <col min="5371" max="5371" width="7.85546875" bestFit="1" customWidth="1"/>
    <col min="5620" max="5620" width="37.42578125" bestFit="1" customWidth="1"/>
    <col min="5621" max="5621" width="13.85546875" bestFit="1" customWidth="1"/>
    <col min="5622" max="5622" width="13.42578125" customWidth="1"/>
    <col min="5623" max="5623" width="7.85546875" bestFit="1" customWidth="1"/>
    <col min="5624" max="5624" width="13.28515625" customWidth="1"/>
    <col min="5625" max="5625" width="7.7109375" bestFit="1" customWidth="1"/>
    <col min="5626" max="5626" width="14.7109375" customWidth="1"/>
    <col min="5627" max="5627" width="7.85546875" bestFit="1" customWidth="1"/>
    <col min="5876" max="5876" width="37.42578125" bestFit="1" customWidth="1"/>
    <col min="5877" max="5877" width="13.85546875" bestFit="1" customWidth="1"/>
    <col min="5878" max="5878" width="13.42578125" customWidth="1"/>
    <col min="5879" max="5879" width="7.85546875" bestFit="1" customWidth="1"/>
    <col min="5880" max="5880" width="13.28515625" customWidth="1"/>
    <col min="5881" max="5881" width="7.7109375" bestFit="1" customWidth="1"/>
    <col min="5882" max="5882" width="14.7109375" customWidth="1"/>
    <col min="5883" max="5883" width="7.85546875" bestFit="1" customWidth="1"/>
    <col min="6132" max="6132" width="37.42578125" bestFit="1" customWidth="1"/>
    <col min="6133" max="6133" width="13.85546875" bestFit="1" customWidth="1"/>
    <col min="6134" max="6134" width="13.42578125" customWidth="1"/>
    <col min="6135" max="6135" width="7.85546875" bestFit="1" customWidth="1"/>
    <col min="6136" max="6136" width="13.28515625" customWidth="1"/>
    <col min="6137" max="6137" width="7.7109375" bestFit="1" customWidth="1"/>
    <col min="6138" max="6138" width="14.7109375" customWidth="1"/>
    <col min="6139" max="6139" width="7.85546875" bestFit="1" customWidth="1"/>
    <col min="6388" max="6388" width="37.42578125" bestFit="1" customWidth="1"/>
    <col min="6389" max="6389" width="13.85546875" bestFit="1" customWidth="1"/>
    <col min="6390" max="6390" width="13.42578125" customWidth="1"/>
    <col min="6391" max="6391" width="7.85546875" bestFit="1" customWidth="1"/>
    <col min="6392" max="6392" width="13.28515625" customWidth="1"/>
    <col min="6393" max="6393" width="7.7109375" bestFit="1" customWidth="1"/>
    <col min="6394" max="6394" width="14.7109375" customWidth="1"/>
    <col min="6395" max="6395" width="7.85546875" bestFit="1" customWidth="1"/>
    <col min="6644" max="6644" width="37.42578125" bestFit="1" customWidth="1"/>
    <col min="6645" max="6645" width="13.85546875" bestFit="1" customWidth="1"/>
    <col min="6646" max="6646" width="13.42578125" customWidth="1"/>
    <col min="6647" max="6647" width="7.85546875" bestFit="1" customWidth="1"/>
    <col min="6648" max="6648" width="13.28515625" customWidth="1"/>
    <col min="6649" max="6649" width="7.7109375" bestFit="1" customWidth="1"/>
    <col min="6650" max="6650" width="14.7109375" customWidth="1"/>
    <col min="6651" max="6651" width="7.85546875" bestFit="1" customWidth="1"/>
    <col min="6900" max="6900" width="37.42578125" bestFit="1" customWidth="1"/>
    <col min="6901" max="6901" width="13.85546875" bestFit="1" customWidth="1"/>
    <col min="6902" max="6902" width="13.42578125" customWidth="1"/>
    <col min="6903" max="6903" width="7.85546875" bestFit="1" customWidth="1"/>
    <col min="6904" max="6904" width="13.28515625" customWidth="1"/>
    <col min="6905" max="6905" width="7.7109375" bestFit="1" customWidth="1"/>
    <col min="6906" max="6906" width="14.7109375" customWidth="1"/>
    <col min="6907" max="6907" width="7.85546875" bestFit="1" customWidth="1"/>
    <col min="7156" max="7156" width="37.42578125" bestFit="1" customWidth="1"/>
    <col min="7157" max="7157" width="13.85546875" bestFit="1" customWidth="1"/>
    <col min="7158" max="7158" width="13.42578125" customWidth="1"/>
    <col min="7159" max="7159" width="7.85546875" bestFit="1" customWidth="1"/>
    <col min="7160" max="7160" width="13.28515625" customWidth="1"/>
    <col min="7161" max="7161" width="7.7109375" bestFit="1" customWidth="1"/>
    <col min="7162" max="7162" width="14.7109375" customWidth="1"/>
    <col min="7163" max="7163" width="7.85546875" bestFit="1" customWidth="1"/>
    <col min="7412" max="7412" width="37.42578125" bestFit="1" customWidth="1"/>
    <col min="7413" max="7413" width="13.85546875" bestFit="1" customWidth="1"/>
    <col min="7414" max="7414" width="13.42578125" customWidth="1"/>
    <col min="7415" max="7415" width="7.85546875" bestFit="1" customWidth="1"/>
    <col min="7416" max="7416" width="13.28515625" customWidth="1"/>
    <col min="7417" max="7417" width="7.7109375" bestFit="1" customWidth="1"/>
    <col min="7418" max="7418" width="14.7109375" customWidth="1"/>
    <col min="7419" max="7419" width="7.85546875" bestFit="1" customWidth="1"/>
    <col min="7668" max="7668" width="37.42578125" bestFit="1" customWidth="1"/>
    <col min="7669" max="7669" width="13.85546875" bestFit="1" customWidth="1"/>
    <col min="7670" max="7670" width="13.42578125" customWidth="1"/>
    <col min="7671" max="7671" width="7.85546875" bestFit="1" customWidth="1"/>
    <col min="7672" max="7672" width="13.28515625" customWidth="1"/>
    <col min="7673" max="7673" width="7.7109375" bestFit="1" customWidth="1"/>
    <col min="7674" max="7674" width="14.7109375" customWidth="1"/>
    <col min="7675" max="7675" width="7.85546875" bestFit="1" customWidth="1"/>
    <col min="7924" max="7924" width="37.42578125" bestFit="1" customWidth="1"/>
    <col min="7925" max="7925" width="13.85546875" bestFit="1" customWidth="1"/>
    <col min="7926" max="7926" width="13.42578125" customWidth="1"/>
    <col min="7927" max="7927" width="7.85546875" bestFit="1" customWidth="1"/>
    <col min="7928" max="7928" width="13.28515625" customWidth="1"/>
    <col min="7929" max="7929" width="7.7109375" bestFit="1" customWidth="1"/>
    <col min="7930" max="7930" width="14.7109375" customWidth="1"/>
    <col min="7931" max="7931" width="7.85546875" bestFit="1" customWidth="1"/>
    <col min="8180" max="8180" width="37.42578125" bestFit="1" customWidth="1"/>
    <col min="8181" max="8181" width="13.85546875" bestFit="1" customWidth="1"/>
    <col min="8182" max="8182" width="13.42578125" customWidth="1"/>
    <col min="8183" max="8183" width="7.85546875" bestFit="1" customWidth="1"/>
    <col min="8184" max="8184" width="13.28515625" customWidth="1"/>
    <col min="8185" max="8185" width="7.7109375" bestFit="1" customWidth="1"/>
    <col min="8186" max="8186" width="14.7109375" customWidth="1"/>
    <col min="8187" max="8187" width="7.85546875" bestFit="1" customWidth="1"/>
    <col min="8436" max="8436" width="37.42578125" bestFit="1" customWidth="1"/>
    <col min="8437" max="8437" width="13.85546875" bestFit="1" customWidth="1"/>
    <col min="8438" max="8438" width="13.42578125" customWidth="1"/>
    <col min="8439" max="8439" width="7.85546875" bestFit="1" customWidth="1"/>
    <col min="8440" max="8440" width="13.28515625" customWidth="1"/>
    <col min="8441" max="8441" width="7.7109375" bestFit="1" customWidth="1"/>
    <col min="8442" max="8442" width="14.7109375" customWidth="1"/>
    <col min="8443" max="8443" width="7.85546875" bestFit="1" customWidth="1"/>
    <col min="8692" max="8692" width="37.42578125" bestFit="1" customWidth="1"/>
    <col min="8693" max="8693" width="13.85546875" bestFit="1" customWidth="1"/>
    <col min="8694" max="8694" width="13.42578125" customWidth="1"/>
    <col min="8695" max="8695" width="7.85546875" bestFit="1" customWidth="1"/>
    <col min="8696" max="8696" width="13.28515625" customWidth="1"/>
    <col min="8697" max="8697" width="7.7109375" bestFit="1" customWidth="1"/>
    <col min="8698" max="8698" width="14.7109375" customWidth="1"/>
    <col min="8699" max="8699" width="7.85546875" bestFit="1" customWidth="1"/>
    <col min="8948" max="8948" width="37.42578125" bestFit="1" customWidth="1"/>
    <col min="8949" max="8949" width="13.85546875" bestFit="1" customWidth="1"/>
    <col min="8950" max="8950" width="13.42578125" customWidth="1"/>
    <col min="8951" max="8951" width="7.85546875" bestFit="1" customWidth="1"/>
    <col min="8952" max="8952" width="13.28515625" customWidth="1"/>
    <col min="8953" max="8953" width="7.7109375" bestFit="1" customWidth="1"/>
    <col min="8954" max="8954" width="14.7109375" customWidth="1"/>
    <col min="8955" max="8955" width="7.85546875" bestFit="1" customWidth="1"/>
    <col min="9204" max="9204" width="37.42578125" bestFit="1" customWidth="1"/>
    <col min="9205" max="9205" width="13.85546875" bestFit="1" customWidth="1"/>
    <col min="9206" max="9206" width="13.42578125" customWidth="1"/>
    <col min="9207" max="9207" width="7.85546875" bestFit="1" customWidth="1"/>
    <col min="9208" max="9208" width="13.28515625" customWidth="1"/>
    <col min="9209" max="9209" width="7.7109375" bestFit="1" customWidth="1"/>
    <col min="9210" max="9210" width="14.7109375" customWidth="1"/>
    <col min="9211" max="9211" width="7.85546875" bestFit="1" customWidth="1"/>
    <col min="9460" max="9460" width="37.42578125" bestFit="1" customWidth="1"/>
    <col min="9461" max="9461" width="13.85546875" bestFit="1" customWidth="1"/>
    <col min="9462" max="9462" width="13.42578125" customWidth="1"/>
    <col min="9463" max="9463" width="7.85546875" bestFit="1" customWidth="1"/>
    <col min="9464" max="9464" width="13.28515625" customWidth="1"/>
    <col min="9465" max="9465" width="7.7109375" bestFit="1" customWidth="1"/>
    <col min="9466" max="9466" width="14.7109375" customWidth="1"/>
    <col min="9467" max="9467" width="7.85546875" bestFit="1" customWidth="1"/>
    <col min="9716" max="9716" width="37.42578125" bestFit="1" customWidth="1"/>
    <col min="9717" max="9717" width="13.85546875" bestFit="1" customWidth="1"/>
    <col min="9718" max="9718" width="13.42578125" customWidth="1"/>
    <col min="9719" max="9719" width="7.85546875" bestFit="1" customWidth="1"/>
    <col min="9720" max="9720" width="13.28515625" customWidth="1"/>
    <col min="9721" max="9721" width="7.7109375" bestFit="1" customWidth="1"/>
    <col min="9722" max="9722" width="14.7109375" customWidth="1"/>
    <col min="9723" max="9723" width="7.85546875" bestFit="1" customWidth="1"/>
    <col min="9972" max="9972" width="37.42578125" bestFit="1" customWidth="1"/>
    <col min="9973" max="9973" width="13.85546875" bestFit="1" customWidth="1"/>
    <col min="9974" max="9974" width="13.42578125" customWidth="1"/>
    <col min="9975" max="9975" width="7.85546875" bestFit="1" customWidth="1"/>
    <col min="9976" max="9976" width="13.28515625" customWidth="1"/>
    <col min="9977" max="9977" width="7.7109375" bestFit="1" customWidth="1"/>
    <col min="9978" max="9978" width="14.7109375" customWidth="1"/>
    <col min="9979" max="9979" width="7.85546875" bestFit="1" customWidth="1"/>
    <col min="10228" max="10228" width="37.42578125" bestFit="1" customWidth="1"/>
    <col min="10229" max="10229" width="13.85546875" bestFit="1" customWidth="1"/>
    <col min="10230" max="10230" width="13.42578125" customWidth="1"/>
    <col min="10231" max="10231" width="7.85546875" bestFit="1" customWidth="1"/>
    <col min="10232" max="10232" width="13.28515625" customWidth="1"/>
    <col min="10233" max="10233" width="7.7109375" bestFit="1" customWidth="1"/>
    <col min="10234" max="10234" width="14.7109375" customWidth="1"/>
    <col min="10235" max="10235" width="7.85546875" bestFit="1" customWidth="1"/>
    <col min="10484" max="10484" width="37.42578125" bestFit="1" customWidth="1"/>
    <col min="10485" max="10485" width="13.85546875" bestFit="1" customWidth="1"/>
    <col min="10486" max="10486" width="13.42578125" customWidth="1"/>
    <col min="10487" max="10487" width="7.85546875" bestFit="1" customWidth="1"/>
    <col min="10488" max="10488" width="13.28515625" customWidth="1"/>
    <col min="10489" max="10489" width="7.7109375" bestFit="1" customWidth="1"/>
    <col min="10490" max="10490" width="14.7109375" customWidth="1"/>
    <col min="10491" max="10491" width="7.85546875" bestFit="1" customWidth="1"/>
    <col min="10740" max="10740" width="37.42578125" bestFit="1" customWidth="1"/>
    <col min="10741" max="10741" width="13.85546875" bestFit="1" customWidth="1"/>
    <col min="10742" max="10742" width="13.42578125" customWidth="1"/>
    <col min="10743" max="10743" width="7.85546875" bestFit="1" customWidth="1"/>
    <col min="10744" max="10744" width="13.28515625" customWidth="1"/>
    <col min="10745" max="10745" width="7.7109375" bestFit="1" customWidth="1"/>
    <col min="10746" max="10746" width="14.7109375" customWidth="1"/>
    <col min="10747" max="10747" width="7.85546875" bestFit="1" customWidth="1"/>
    <col min="10996" max="10996" width="37.42578125" bestFit="1" customWidth="1"/>
    <col min="10997" max="10997" width="13.85546875" bestFit="1" customWidth="1"/>
    <col min="10998" max="10998" width="13.42578125" customWidth="1"/>
    <col min="10999" max="10999" width="7.85546875" bestFit="1" customWidth="1"/>
    <col min="11000" max="11000" width="13.28515625" customWidth="1"/>
    <col min="11001" max="11001" width="7.7109375" bestFit="1" customWidth="1"/>
    <col min="11002" max="11002" width="14.7109375" customWidth="1"/>
    <col min="11003" max="11003" width="7.85546875" bestFit="1" customWidth="1"/>
    <col min="11252" max="11252" width="37.42578125" bestFit="1" customWidth="1"/>
    <col min="11253" max="11253" width="13.85546875" bestFit="1" customWidth="1"/>
    <col min="11254" max="11254" width="13.42578125" customWidth="1"/>
    <col min="11255" max="11255" width="7.85546875" bestFit="1" customWidth="1"/>
    <col min="11256" max="11256" width="13.28515625" customWidth="1"/>
    <col min="11257" max="11257" width="7.7109375" bestFit="1" customWidth="1"/>
    <col min="11258" max="11258" width="14.7109375" customWidth="1"/>
    <col min="11259" max="11259" width="7.85546875" bestFit="1" customWidth="1"/>
    <col min="11508" max="11508" width="37.42578125" bestFit="1" customWidth="1"/>
    <col min="11509" max="11509" width="13.85546875" bestFit="1" customWidth="1"/>
    <col min="11510" max="11510" width="13.42578125" customWidth="1"/>
    <col min="11511" max="11511" width="7.85546875" bestFit="1" customWidth="1"/>
    <col min="11512" max="11512" width="13.28515625" customWidth="1"/>
    <col min="11513" max="11513" width="7.7109375" bestFit="1" customWidth="1"/>
    <col min="11514" max="11514" width="14.7109375" customWidth="1"/>
    <col min="11515" max="11515" width="7.85546875" bestFit="1" customWidth="1"/>
    <col min="11764" max="11764" width="37.42578125" bestFit="1" customWidth="1"/>
    <col min="11765" max="11765" width="13.85546875" bestFit="1" customWidth="1"/>
    <col min="11766" max="11766" width="13.42578125" customWidth="1"/>
    <col min="11767" max="11767" width="7.85546875" bestFit="1" customWidth="1"/>
    <col min="11768" max="11768" width="13.28515625" customWidth="1"/>
    <col min="11769" max="11769" width="7.7109375" bestFit="1" customWidth="1"/>
    <col min="11770" max="11770" width="14.7109375" customWidth="1"/>
    <col min="11771" max="11771" width="7.85546875" bestFit="1" customWidth="1"/>
    <col min="12020" max="12020" width="37.42578125" bestFit="1" customWidth="1"/>
    <col min="12021" max="12021" width="13.85546875" bestFit="1" customWidth="1"/>
    <col min="12022" max="12022" width="13.42578125" customWidth="1"/>
    <col min="12023" max="12023" width="7.85546875" bestFit="1" customWidth="1"/>
    <col min="12024" max="12024" width="13.28515625" customWidth="1"/>
    <col min="12025" max="12025" width="7.7109375" bestFit="1" customWidth="1"/>
    <col min="12026" max="12026" width="14.7109375" customWidth="1"/>
    <col min="12027" max="12027" width="7.85546875" bestFit="1" customWidth="1"/>
    <col min="12276" max="12276" width="37.42578125" bestFit="1" customWidth="1"/>
    <col min="12277" max="12277" width="13.85546875" bestFit="1" customWidth="1"/>
    <col min="12278" max="12278" width="13.42578125" customWidth="1"/>
    <col min="12279" max="12279" width="7.85546875" bestFit="1" customWidth="1"/>
    <col min="12280" max="12280" width="13.28515625" customWidth="1"/>
    <col min="12281" max="12281" width="7.7109375" bestFit="1" customWidth="1"/>
    <col min="12282" max="12282" width="14.7109375" customWidth="1"/>
    <col min="12283" max="12283" width="7.85546875" bestFit="1" customWidth="1"/>
    <col min="12532" max="12532" width="37.42578125" bestFit="1" customWidth="1"/>
    <col min="12533" max="12533" width="13.85546875" bestFit="1" customWidth="1"/>
    <col min="12534" max="12534" width="13.42578125" customWidth="1"/>
    <col min="12535" max="12535" width="7.85546875" bestFit="1" customWidth="1"/>
    <col min="12536" max="12536" width="13.28515625" customWidth="1"/>
    <col min="12537" max="12537" width="7.7109375" bestFit="1" customWidth="1"/>
    <col min="12538" max="12538" width="14.7109375" customWidth="1"/>
    <col min="12539" max="12539" width="7.85546875" bestFit="1" customWidth="1"/>
    <col min="12788" max="12788" width="37.42578125" bestFit="1" customWidth="1"/>
    <col min="12789" max="12789" width="13.85546875" bestFit="1" customWidth="1"/>
    <col min="12790" max="12790" width="13.42578125" customWidth="1"/>
    <col min="12791" max="12791" width="7.85546875" bestFit="1" customWidth="1"/>
    <col min="12792" max="12792" width="13.28515625" customWidth="1"/>
    <col min="12793" max="12793" width="7.7109375" bestFit="1" customWidth="1"/>
    <col min="12794" max="12794" width="14.7109375" customWidth="1"/>
    <col min="12795" max="12795" width="7.85546875" bestFit="1" customWidth="1"/>
    <col min="13044" max="13044" width="37.42578125" bestFit="1" customWidth="1"/>
    <col min="13045" max="13045" width="13.85546875" bestFit="1" customWidth="1"/>
    <col min="13046" max="13046" width="13.42578125" customWidth="1"/>
    <col min="13047" max="13047" width="7.85546875" bestFit="1" customWidth="1"/>
    <col min="13048" max="13048" width="13.28515625" customWidth="1"/>
    <col min="13049" max="13049" width="7.7109375" bestFit="1" customWidth="1"/>
    <col min="13050" max="13050" width="14.7109375" customWidth="1"/>
    <col min="13051" max="13051" width="7.85546875" bestFit="1" customWidth="1"/>
    <col min="13300" max="13300" width="37.42578125" bestFit="1" customWidth="1"/>
    <col min="13301" max="13301" width="13.85546875" bestFit="1" customWidth="1"/>
    <col min="13302" max="13302" width="13.42578125" customWidth="1"/>
    <col min="13303" max="13303" width="7.85546875" bestFit="1" customWidth="1"/>
    <col min="13304" max="13304" width="13.28515625" customWidth="1"/>
    <col min="13305" max="13305" width="7.7109375" bestFit="1" customWidth="1"/>
    <col min="13306" max="13306" width="14.7109375" customWidth="1"/>
    <col min="13307" max="13307" width="7.85546875" bestFit="1" customWidth="1"/>
    <col min="13556" max="13556" width="37.42578125" bestFit="1" customWidth="1"/>
    <col min="13557" max="13557" width="13.85546875" bestFit="1" customWidth="1"/>
    <col min="13558" max="13558" width="13.42578125" customWidth="1"/>
    <col min="13559" max="13559" width="7.85546875" bestFit="1" customWidth="1"/>
    <col min="13560" max="13560" width="13.28515625" customWidth="1"/>
    <col min="13561" max="13561" width="7.7109375" bestFit="1" customWidth="1"/>
    <col min="13562" max="13562" width="14.7109375" customWidth="1"/>
    <col min="13563" max="13563" width="7.85546875" bestFit="1" customWidth="1"/>
    <col min="13812" max="13812" width="37.42578125" bestFit="1" customWidth="1"/>
    <col min="13813" max="13813" width="13.85546875" bestFit="1" customWidth="1"/>
    <col min="13814" max="13814" width="13.42578125" customWidth="1"/>
    <col min="13815" max="13815" width="7.85546875" bestFit="1" customWidth="1"/>
    <col min="13816" max="13816" width="13.28515625" customWidth="1"/>
    <col min="13817" max="13817" width="7.7109375" bestFit="1" customWidth="1"/>
    <col min="13818" max="13818" width="14.7109375" customWidth="1"/>
    <col min="13819" max="13819" width="7.85546875" bestFit="1" customWidth="1"/>
    <col min="14068" max="14068" width="37.42578125" bestFit="1" customWidth="1"/>
    <col min="14069" max="14069" width="13.85546875" bestFit="1" customWidth="1"/>
    <col min="14070" max="14070" width="13.42578125" customWidth="1"/>
    <col min="14071" max="14071" width="7.85546875" bestFit="1" customWidth="1"/>
    <col min="14072" max="14072" width="13.28515625" customWidth="1"/>
    <col min="14073" max="14073" width="7.7109375" bestFit="1" customWidth="1"/>
    <col min="14074" max="14074" width="14.7109375" customWidth="1"/>
    <col min="14075" max="14075" width="7.85546875" bestFit="1" customWidth="1"/>
    <col min="14324" max="14324" width="37.42578125" bestFit="1" customWidth="1"/>
    <col min="14325" max="14325" width="13.85546875" bestFit="1" customWidth="1"/>
    <col min="14326" max="14326" width="13.42578125" customWidth="1"/>
    <col min="14327" max="14327" width="7.85546875" bestFit="1" customWidth="1"/>
    <col min="14328" max="14328" width="13.28515625" customWidth="1"/>
    <col min="14329" max="14329" width="7.7109375" bestFit="1" customWidth="1"/>
    <col min="14330" max="14330" width="14.7109375" customWidth="1"/>
    <col min="14331" max="14331" width="7.85546875" bestFit="1" customWidth="1"/>
    <col min="14580" max="14580" width="37.42578125" bestFit="1" customWidth="1"/>
    <col min="14581" max="14581" width="13.85546875" bestFit="1" customWidth="1"/>
    <col min="14582" max="14582" width="13.42578125" customWidth="1"/>
    <col min="14583" max="14583" width="7.85546875" bestFit="1" customWidth="1"/>
    <col min="14584" max="14584" width="13.28515625" customWidth="1"/>
    <col min="14585" max="14585" width="7.7109375" bestFit="1" customWidth="1"/>
    <col min="14586" max="14586" width="14.7109375" customWidth="1"/>
    <col min="14587" max="14587" width="7.85546875" bestFit="1" customWidth="1"/>
    <col min="14836" max="14836" width="37.42578125" bestFit="1" customWidth="1"/>
    <col min="14837" max="14837" width="13.85546875" bestFit="1" customWidth="1"/>
    <col min="14838" max="14838" width="13.42578125" customWidth="1"/>
    <col min="14839" max="14839" width="7.85546875" bestFit="1" customWidth="1"/>
    <col min="14840" max="14840" width="13.28515625" customWidth="1"/>
    <col min="14841" max="14841" width="7.7109375" bestFit="1" customWidth="1"/>
    <col min="14842" max="14842" width="14.7109375" customWidth="1"/>
    <col min="14843" max="14843" width="7.85546875" bestFit="1" customWidth="1"/>
    <col min="15092" max="15092" width="37.42578125" bestFit="1" customWidth="1"/>
    <col min="15093" max="15093" width="13.85546875" bestFit="1" customWidth="1"/>
    <col min="15094" max="15094" width="13.42578125" customWidth="1"/>
    <col min="15095" max="15095" width="7.85546875" bestFit="1" customWidth="1"/>
    <col min="15096" max="15096" width="13.28515625" customWidth="1"/>
    <col min="15097" max="15097" width="7.7109375" bestFit="1" customWidth="1"/>
    <col min="15098" max="15098" width="14.7109375" customWidth="1"/>
    <col min="15099" max="15099" width="7.85546875" bestFit="1" customWidth="1"/>
    <col min="15348" max="15348" width="37.42578125" bestFit="1" customWidth="1"/>
    <col min="15349" max="15349" width="13.85546875" bestFit="1" customWidth="1"/>
    <col min="15350" max="15350" width="13.42578125" customWidth="1"/>
    <col min="15351" max="15351" width="7.85546875" bestFit="1" customWidth="1"/>
    <col min="15352" max="15352" width="13.28515625" customWidth="1"/>
    <col min="15353" max="15353" width="7.7109375" bestFit="1" customWidth="1"/>
    <col min="15354" max="15354" width="14.7109375" customWidth="1"/>
    <col min="15355" max="15355" width="7.85546875" bestFit="1" customWidth="1"/>
    <col min="15604" max="15604" width="37.42578125" bestFit="1" customWidth="1"/>
    <col min="15605" max="15605" width="13.85546875" bestFit="1" customWidth="1"/>
    <col min="15606" max="15606" width="13.42578125" customWidth="1"/>
    <col min="15607" max="15607" width="7.85546875" bestFit="1" customWidth="1"/>
    <col min="15608" max="15608" width="13.28515625" customWidth="1"/>
    <col min="15609" max="15609" width="7.7109375" bestFit="1" customWidth="1"/>
    <col min="15610" max="15610" width="14.7109375" customWidth="1"/>
    <col min="15611" max="15611" width="7.85546875" bestFit="1" customWidth="1"/>
    <col min="15860" max="15860" width="37.42578125" bestFit="1" customWidth="1"/>
    <col min="15861" max="15861" width="13.85546875" bestFit="1" customWidth="1"/>
    <col min="15862" max="15862" width="13.42578125" customWidth="1"/>
    <col min="15863" max="15863" width="7.85546875" bestFit="1" customWidth="1"/>
    <col min="15864" max="15864" width="13.28515625" customWidth="1"/>
    <col min="15865" max="15865" width="7.7109375" bestFit="1" customWidth="1"/>
    <col min="15866" max="15866" width="14.7109375" customWidth="1"/>
    <col min="15867" max="15867" width="7.85546875" bestFit="1" customWidth="1"/>
    <col min="16116" max="16116" width="37.42578125" bestFit="1" customWidth="1"/>
    <col min="16117" max="16117" width="13.85546875" bestFit="1" customWidth="1"/>
    <col min="16118" max="16118" width="13.42578125" customWidth="1"/>
    <col min="16119" max="16119" width="7.85546875" bestFit="1" customWidth="1"/>
    <col min="16120" max="16120" width="13.28515625" customWidth="1"/>
    <col min="16121" max="16121" width="7.7109375" bestFit="1" customWidth="1"/>
    <col min="16122" max="16122" width="14.7109375" customWidth="1"/>
    <col min="16123" max="16123" width="7.85546875" bestFit="1" customWidth="1"/>
  </cols>
  <sheetData>
    <row r="3" spans="2:17" ht="15.75" thickBot="1" x14ac:dyDescent="0.3">
      <c r="J3" s="40">
        <f>+J11</f>
        <v>26019</v>
      </c>
    </row>
    <row r="4" spans="2:17" ht="26.25" customHeight="1" x14ac:dyDescent="0.25">
      <c r="B4" s="471" t="s">
        <v>0</v>
      </c>
      <c r="C4" s="207" t="s">
        <v>78</v>
      </c>
      <c r="D4" s="484" t="s">
        <v>80</v>
      </c>
      <c r="E4" s="486" t="s">
        <v>1</v>
      </c>
      <c r="F4" s="474" t="s">
        <v>34</v>
      </c>
      <c r="G4" s="474"/>
      <c r="H4" s="476" t="s">
        <v>81</v>
      </c>
      <c r="I4" s="477"/>
      <c r="J4" s="480" t="s">
        <v>29</v>
      </c>
      <c r="K4" s="481"/>
      <c r="L4" s="465" t="s">
        <v>31</v>
      </c>
      <c r="M4" s="469"/>
      <c r="N4" s="465" t="s">
        <v>82</v>
      </c>
      <c r="O4" s="466"/>
    </row>
    <row r="5" spans="2:17" ht="46.9" customHeight="1" x14ac:dyDescent="0.25">
      <c r="B5" s="472"/>
      <c r="C5" s="163" t="s">
        <v>79</v>
      </c>
      <c r="D5" s="485"/>
      <c r="E5" s="487"/>
      <c r="F5" s="475"/>
      <c r="G5" s="475"/>
      <c r="H5" s="478"/>
      <c r="I5" s="479"/>
      <c r="J5" s="482"/>
      <c r="K5" s="483"/>
      <c r="L5" s="467"/>
      <c r="M5" s="470"/>
      <c r="N5" s="467"/>
      <c r="O5" s="468"/>
    </row>
    <row r="6" spans="2:17" ht="14.45" customHeight="1" x14ac:dyDescent="0.25">
      <c r="B6" s="116" t="s">
        <v>2</v>
      </c>
      <c r="C6" s="206"/>
      <c r="D6" s="195">
        <f>+D29/D9</f>
        <v>0.19564880167532769</v>
      </c>
      <c r="E6" s="2"/>
      <c r="F6" s="2"/>
      <c r="G6" s="2"/>
      <c r="H6" s="2"/>
      <c r="I6" s="2"/>
      <c r="J6" s="65"/>
      <c r="K6" s="59"/>
      <c r="L6" s="58"/>
      <c r="M6" s="59"/>
      <c r="N6" s="195">
        <f>+N29/N9</f>
        <v>0.19401081680098944</v>
      </c>
      <c r="O6" s="149"/>
    </row>
    <row r="7" spans="2:17" ht="16.5" x14ac:dyDescent="0.25">
      <c r="B7" s="116" t="s">
        <v>3</v>
      </c>
      <c r="C7" s="203">
        <f>+Q7/1000</f>
        <v>24051.555</v>
      </c>
      <c r="D7" s="41">
        <v>25135</v>
      </c>
      <c r="E7" s="53">
        <f>D7/D11</f>
        <v>0.76428375954024386</v>
      </c>
      <c r="F7" s="4">
        <f>11951+1931+(1931/31*8)</f>
        <v>14380.322580645161</v>
      </c>
      <c r="G7" s="5">
        <f>F7/D7</f>
        <v>0.5721234366678003</v>
      </c>
      <c r="H7" s="4">
        <v>24984</v>
      </c>
      <c r="I7" s="53">
        <f>H7/D7</f>
        <v>0.99399244081957427</v>
      </c>
      <c r="J7" s="46">
        <v>25135</v>
      </c>
      <c r="K7" s="60">
        <f>+J7/H7</f>
        <v>1.0060438680755683</v>
      </c>
      <c r="L7" s="41">
        <v>25135</v>
      </c>
      <c r="M7" s="53">
        <f>+L7/H7</f>
        <v>1.0060438680755683</v>
      </c>
      <c r="N7" s="41">
        <v>26400</v>
      </c>
      <c r="O7" s="118">
        <f>+N7/H7</f>
        <v>1.0566762728146013</v>
      </c>
      <c r="Q7" s="142">
        <v>24051555</v>
      </c>
    </row>
    <row r="8" spans="2:17" ht="20.45" customHeight="1" x14ac:dyDescent="0.25">
      <c r="B8" s="116" t="s">
        <v>4</v>
      </c>
      <c r="C8" s="203">
        <f>+Q8/1000</f>
        <v>981.16899999999998</v>
      </c>
      <c r="D8" s="41">
        <v>651</v>
      </c>
      <c r="E8" s="53">
        <f>D8/D11</f>
        <v>1.9795055797123484E-2</v>
      </c>
      <c r="F8" s="37">
        <f>393+66+(66/31*8)</f>
        <v>476.0322580645161</v>
      </c>
      <c r="G8" s="5">
        <f>F8/D8</f>
        <v>0.73123234725732122</v>
      </c>
      <c r="H8" s="4">
        <v>1608</v>
      </c>
      <c r="I8" s="53">
        <f>H8/D8</f>
        <v>2.4700460829493087</v>
      </c>
      <c r="J8" s="46">
        <f>26000*3.4/100</f>
        <v>884</v>
      </c>
      <c r="K8" s="60">
        <f t="shared" ref="K8:K9" si="0">+J8/H8</f>
        <v>0.54975124378109452</v>
      </c>
      <c r="L8" s="41">
        <v>884</v>
      </c>
      <c r="M8" s="53">
        <f t="shared" ref="M8:M30" si="1">+L8/H8</f>
        <v>0.54975124378109452</v>
      </c>
      <c r="N8" s="41">
        <f>+Intereses!N10+1</f>
        <v>2134.4914849704746</v>
      </c>
      <c r="O8" s="118">
        <f>+N8/H8</f>
        <v>1.3274200777179568</v>
      </c>
      <c r="Q8" s="142">
        <v>981169</v>
      </c>
    </row>
    <row r="9" spans="2:17" ht="16.5" x14ac:dyDescent="0.25">
      <c r="B9" s="119" t="s">
        <v>5</v>
      </c>
      <c r="C9" s="30">
        <f>+C7+C8</f>
        <v>25032.724000000002</v>
      </c>
      <c r="D9" s="43">
        <f>SUM(D7:D8)</f>
        <v>25786</v>
      </c>
      <c r="E9" s="151">
        <f>D9/D11</f>
        <v>0.78407881533736734</v>
      </c>
      <c r="F9" s="30">
        <f>+F7+F8</f>
        <v>14856.354838709678</v>
      </c>
      <c r="G9" s="31">
        <f>F9/D9</f>
        <v>0.57614034122041724</v>
      </c>
      <c r="H9" s="30">
        <f>+H7+H8</f>
        <v>26592</v>
      </c>
      <c r="I9" s="71">
        <f>H9/D9</f>
        <v>1.0312572713875747</v>
      </c>
      <c r="J9" s="43">
        <f>SUM(J7:J8)</f>
        <v>26019</v>
      </c>
      <c r="K9" s="72">
        <f t="shared" si="0"/>
        <v>0.97845216606498198</v>
      </c>
      <c r="L9" s="43">
        <f>SUM(L7:L8)</f>
        <v>26019</v>
      </c>
      <c r="M9" s="71">
        <f t="shared" si="1"/>
        <v>0.97845216606498198</v>
      </c>
      <c r="N9" s="43">
        <f>SUM(N7:N8)</f>
        <v>28534.491484970473</v>
      </c>
      <c r="O9" s="120">
        <f>+N9/H9</f>
        <v>1.0730479649883602</v>
      </c>
      <c r="Q9" s="143">
        <f>SUM(Q7:Q8)</f>
        <v>25032724</v>
      </c>
    </row>
    <row r="10" spans="2:17" ht="23.45" customHeight="1" x14ac:dyDescent="0.3">
      <c r="B10" s="121" t="s">
        <v>6</v>
      </c>
      <c r="C10" s="121"/>
      <c r="D10" s="42">
        <f>5860+229-13+2-679+450+25-50-25+37+1+1264</f>
        <v>7101</v>
      </c>
      <c r="E10" s="61">
        <f>D10/D11</f>
        <v>0.21592118466263266</v>
      </c>
      <c r="F10" s="16"/>
      <c r="G10" s="16"/>
      <c r="H10" s="14">
        <v>2570</v>
      </c>
      <c r="I10" s="28">
        <f>H10/D10</f>
        <v>0.36192085621743414</v>
      </c>
      <c r="J10" s="47">
        <v>0</v>
      </c>
      <c r="K10" s="61"/>
      <c r="L10" s="42">
        <v>1133</v>
      </c>
      <c r="M10" s="54">
        <f t="shared" si="1"/>
        <v>0.44085603112840466</v>
      </c>
      <c r="N10" s="42">
        <v>7711</v>
      </c>
      <c r="O10" s="118">
        <f>+N10/H10</f>
        <v>3.0003891050583658</v>
      </c>
      <c r="Q10" s="144"/>
    </row>
    <row r="11" spans="2:17" ht="19.899999999999999" customHeight="1" x14ac:dyDescent="0.25">
      <c r="B11" s="123" t="s">
        <v>7</v>
      </c>
      <c r="C11" s="33">
        <f>+C9+C10</f>
        <v>25032.724000000002</v>
      </c>
      <c r="D11" s="44">
        <f>SUM(D9:D10)</f>
        <v>32887</v>
      </c>
      <c r="E11" s="152">
        <f>D11/D11</f>
        <v>1</v>
      </c>
      <c r="F11" s="33">
        <f>+F9+F10</f>
        <v>14856.354838709678</v>
      </c>
      <c r="G11" s="34">
        <f>F11/D11</f>
        <v>0.45173943621217133</v>
      </c>
      <c r="H11" s="33">
        <f>+H10+H9</f>
        <v>29162</v>
      </c>
      <c r="I11" s="34">
        <f>H11/D11</f>
        <v>0.88673335968619815</v>
      </c>
      <c r="J11" s="44">
        <f>SUM(J9:J10)</f>
        <v>26019</v>
      </c>
      <c r="K11" s="60">
        <f t="shared" ref="K11:K30" si="2">+J11/H11</f>
        <v>0.89222275564090259</v>
      </c>
      <c r="L11" s="44">
        <f>SUM(L9:L10)</f>
        <v>27152</v>
      </c>
      <c r="M11" s="53">
        <f t="shared" si="1"/>
        <v>0.93107468623551193</v>
      </c>
      <c r="N11" s="44">
        <f>SUM(N9:N10)</f>
        <v>36245.491484970473</v>
      </c>
      <c r="O11" s="118">
        <f>+N11/H11</f>
        <v>1.2429014294276961</v>
      </c>
      <c r="Q11" s="145">
        <f>+Q9+Q10</f>
        <v>25032724</v>
      </c>
    </row>
    <row r="12" spans="2:17" x14ac:dyDescent="0.25">
      <c r="B12" s="116" t="s">
        <v>8</v>
      </c>
      <c r="C12" s="196"/>
      <c r="D12" s="18"/>
      <c r="E12" s="62"/>
      <c r="F12" s="18"/>
      <c r="G12" s="18"/>
      <c r="H12" s="18"/>
      <c r="I12" s="19"/>
      <c r="J12" s="48"/>
      <c r="K12" s="62"/>
      <c r="L12" s="18"/>
      <c r="M12" s="55"/>
      <c r="N12" s="18"/>
      <c r="O12" s="124"/>
      <c r="Q12" s="146"/>
    </row>
    <row r="13" spans="2:17" ht="16.5" x14ac:dyDescent="0.25">
      <c r="B13" s="125" t="s">
        <v>9</v>
      </c>
      <c r="C13" s="33">
        <f>+C22+C27+C30</f>
        <v>19322.455999999998</v>
      </c>
      <c r="D13" s="33">
        <f>+D22+D27+D30</f>
        <v>32887</v>
      </c>
      <c r="E13" s="152">
        <v>1</v>
      </c>
      <c r="F13" s="33">
        <f>+F22+F27+F30</f>
        <v>22061</v>
      </c>
      <c r="G13" s="34">
        <f>F13/D13</f>
        <v>0.67081217502356549</v>
      </c>
      <c r="H13" s="33">
        <f>+H22+H27+H30</f>
        <v>29062</v>
      </c>
      <c r="I13" s="34">
        <f>H13/D13</f>
        <v>0.88369264450998875</v>
      </c>
      <c r="J13" s="49">
        <f>+J22+J27+J30</f>
        <v>26019.390521123758</v>
      </c>
      <c r="K13" s="60">
        <f t="shared" si="2"/>
        <v>0.89530625975926492</v>
      </c>
      <c r="L13" s="33">
        <f>+L22+L27+L30</f>
        <v>27152</v>
      </c>
      <c r="M13" s="53">
        <f t="shared" si="1"/>
        <v>0.93427843919895392</v>
      </c>
      <c r="N13" s="33">
        <f>+N22+N27+N30</f>
        <v>35380</v>
      </c>
      <c r="O13" s="152">
        <f>+N13/H13</f>
        <v>1.217397288555502</v>
      </c>
      <c r="Q13" s="143">
        <f>+Q22+Q26+Q30</f>
        <v>19322456</v>
      </c>
    </row>
    <row r="14" spans="2:17" ht="16.5" x14ac:dyDescent="0.25">
      <c r="B14" s="119" t="s">
        <v>290</v>
      </c>
      <c r="C14" s="196"/>
      <c r="D14" s="204">
        <f>SUM(D15:D17)</f>
        <v>18744</v>
      </c>
      <c r="E14" s="151">
        <f>+D14/D13</f>
        <v>0.56995165262869829</v>
      </c>
      <c r="F14" s="198"/>
      <c r="G14" s="198"/>
      <c r="H14" s="204">
        <f>SUM(H15:H17)</f>
        <v>16930</v>
      </c>
      <c r="I14" s="151">
        <f>+H14/D14</f>
        <v>0.90322236448997018</v>
      </c>
      <c r="J14" s="199"/>
      <c r="K14" s="200"/>
      <c r="L14" s="197"/>
      <c r="M14" s="201"/>
      <c r="N14" s="204">
        <f>SUM(N15:N17)</f>
        <v>19155</v>
      </c>
      <c r="O14" s="120">
        <f>+N14/H14</f>
        <v>1.131423508564678</v>
      </c>
      <c r="Q14" s="146"/>
    </row>
    <row r="15" spans="2:17" ht="16.5" x14ac:dyDescent="0.25">
      <c r="B15" s="116" t="s">
        <v>11</v>
      </c>
      <c r="C15" s="196"/>
      <c r="D15" s="12">
        <f>+H97</f>
        <v>13815</v>
      </c>
      <c r="E15" s="205">
        <f>+D15/$D$13</f>
        <v>0.42007480159333477</v>
      </c>
      <c r="F15" s="2"/>
      <c r="G15" s="2"/>
      <c r="H15" s="12">
        <f>+H68</f>
        <v>12766</v>
      </c>
      <c r="I15" s="205">
        <f>+H15/D15</f>
        <v>0.92406804198335146</v>
      </c>
      <c r="J15" s="73"/>
      <c r="K15" s="63"/>
      <c r="L15" s="45"/>
      <c r="M15" s="126"/>
      <c r="N15" s="12">
        <f>+H39+1</f>
        <v>13715</v>
      </c>
      <c r="O15" s="118">
        <f>+N15/H15</f>
        <v>1.0743380855397149</v>
      </c>
      <c r="Q15" s="146"/>
    </row>
    <row r="16" spans="2:17" ht="16.5" x14ac:dyDescent="0.25">
      <c r="B16" s="116" t="s">
        <v>12</v>
      </c>
      <c r="C16" s="196"/>
      <c r="D16" s="12">
        <f>+H99+H98</f>
        <v>4929</v>
      </c>
      <c r="E16" s="205">
        <f>+D16/$D$13</f>
        <v>0.14987685103536352</v>
      </c>
      <c r="F16" s="2"/>
      <c r="G16" s="2"/>
      <c r="H16" s="12">
        <f>+H70+H69</f>
        <v>4164</v>
      </c>
      <c r="I16" s="205">
        <f t="shared" ref="I16:I17" si="3">+H16/D16</f>
        <v>0.84479610468654898</v>
      </c>
      <c r="J16" s="73"/>
      <c r="K16" s="63"/>
      <c r="L16" s="45"/>
      <c r="M16" s="126"/>
      <c r="N16" s="12">
        <f>+H41+H40</f>
        <v>5440</v>
      </c>
      <c r="O16" s="118">
        <f t="shared" ref="O16:O17" si="4">+N16/H16</f>
        <v>1.3064361191162344</v>
      </c>
      <c r="Q16" s="146"/>
    </row>
    <row r="17" spans="2:17" ht="16.5" hidden="1" x14ac:dyDescent="0.25">
      <c r="B17" s="116" t="s">
        <v>42</v>
      </c>
      <c r="C17" s="196"/>
      <c r="D17" s="12"/>
      <c r="E17" s="205">
        <f>+D17/$D$13</f>
        <v>0</v>
      </c>
      <c r="F17" s="2"/>
      <c r="G17" s="2"/>
      <c r="H17" s="12"/>
      <c r="I17" s="205" t="e">
        <f t="shared" si="3"/>
        <v>#DIV/0!</v>
      </c>
      <c r="J17" s="73"/>
      <c r="K17" s="63"/>
      <c r="L17" s="45"/>
      <c r="M17" s="126"/>
      <c r="N17" s="12"/>
      <c r="O17" s="118" t="e">
        <f t="shared" si="4"/>
        <v>#DIV/0!</v>
      </c>
      <c r="Q17" s="146"/>
    </row>
    <row r="18" spans="2:17" ht="16.5" x14ac:dyDescent="0.25">
      <c r="B18" s="119" t="s">
        <v>291</v>
      </c>
      <c r="C18" s="30">
        <f>+Q18/1000</f>
        <v>7762.4350000000004</v>
      </c>
      <c r="D18" s="30">
        <f>SUM(D19:D20)</f>
        <v>7876</v>
      </c>
      <c r="E18" s="151">
        <f>D18/D13</f>
        <v>0.23948672727825585</v>
      </c>
      <c r="F18" s="30">
        <v>10122</v>
      </c>
      <c r="G18" s="31">
        <f>F18/D18</f>
        <v>1.2851701371254445</v>
      </c>
      <c r="H18" s="30">
        <f>SUM(H19:H20)</f>
        <v>7142</v>
      </c>
      <c r="I18" s="31">
        <f>H18/D18</f>
        <v>0.90680548501777547</v>
      </c>
      <c r="J18" s="202">
        <f>12030.5715204804-205</f>
        <v>11825.5715204804</v>
      </c>
      <c r="K18" s="72">
        <f t="shared" si="2"/>
        <v>1.6557787063120135</v>
      </c>
      <c r="L18" s="30">
        <f>11970+680-11+86</f>
        <v>12725</v>
      </c>
      <c r="M18" s="71">
        <f t="shared" si="1"/>
        <v>1.7817138056566788</v>
      </c>
      <c r="N18" s="30">
        <f>SUM(N19:N20)</f>
        <v>7917</v>
      </c>
      <c r="O18" s="120">
        <f>+N18/H18</f>
        <v>1.1085130215625876</v>
      </c>
      <c r="P18" s="109"/>
      <c r="Q18" s="147">
        <v>7762435</v>
      </c>
    </row>
    <row r="19" spans="2:17" ht="16.5" x14ac:dyDescent="0.25">
      <c r="B19" s="116" t="s">
        <v>12</v>
      </c>
      <c r="C19" s="30"/>
      <c r="D19" s="12">
        <f>+H102+H103</f>
        <v>7876</v>
      </c>
      <c r="E19" s="205">
        <f t="shared" ref="E19:E21" si="5">+D19/$D$13</f>
        <v>0.23948672727825585</v>
      </c>
      <c r="F19" s="11"/>
      <c r="G19" s="5"/>
      <c r="H19" s="12">
        <f>+H73+H74</f>
        <v>7142</v>
      </c>
      <c r="I19" s="205">
        <f>H19/D19</f>
        <v>0.90680548501777547</v>
      </c>
      <c r="J19" s="50"/>
      <c r="K19" s="60"/>
      <c r="L19" s="12"/>
      <c r="M19" s="53"/>
      <c r="N19" s="12">
        <f>+H44+H45</f>
        <v>7917</v>
      </c>
      <c r="O19" s="118">
        <f>+N19/H19</f>
        <v>1.1085130215625876</v>
      </c>
      <c r="P19" s="109"/>
      <c r="Q19" s="147"/>
    </row>
    <row r="20" spans="2:17" ht="16.5" hidden="1" x14ac:dyDescent="0.25">
      <c r="B20" s="116" t="s">
        <v>42</v>
      </c>
      <c r="C20" s="30">
        <f>+Q20/1000</f>
        <v>8054.1530000000002</v>
      </c>
      <c r="D20" s="12"/>
      <c r="E20" s="205"/>
      <c r="F20" s="11">
        <f>9291+351</f>
        <v>9642</v>
      </c>
      <c r="G20" s="5" t="e">
        <f>F20/D20</f>
        <v>#DIV/0!</v>
      </c>
      <c r="H20" s="12"/>
      <c r="I20" s="205"/>
      <c r="J20" s="50">
        <f>9791.81900064336+205</f>
        <v>9996.8190006433597</v>
      </c>
      <c r="K20" s="60" t="e">
        <f t="shared" si="2"/>
        <v>#DIV/0!</v>
      </c>
      <c r="L20" s="12">
        <f>9702+453-11+86</f>
        <v>10230</v>
      </c>
      <c r="M20" s="53" t="e">
        <f t="shared" si="1"/>
        <v>#DIV/0!</v>
      </c>
      <c r="N20" s="12"/>
      <c r="O20" s="118"/>
      <c r="Q20" s="147">
        <v>8054153</v>
      </c>
    </row>
    <row r="21" spans="2:17" ht="16.5" x14ac:dyDescent="0.25">
      <c r="B21" s="119" t="s">
        <v>292</v>
      </c>
      <c r="C21" s="30"/>
      <c r="D21" s="30">
        <f t="shared" ref="D21" si="6">+H104</f>
        <v>158</v>
      </c>
      <c r="E21" s="151">
        <f t="shared" si="5"/>
        <v>4.8043299784109221E-3</v>
      </c>
      <c r="F21" s="30"/>
      <c r="G21" s="31"/>
      <c r="H21" s="30">
        <f>+H75</f>
        <v>1093</v>
      </c>
      <c r="I21" s="151">
        <f>H21/D21</f>
        <v>6.9177215189873413</v>
      </c>
      <c r="J21" s="202"/>
      <c r="K21" s="72"/>
      <c r="L21" s="30"/>
      <c r="M21" s="71"/>
      <c r="N21" s="30">
        <f>+H46</f>
        <v>711</v>
      </c>
      <c r="O21" s="120">
        <f>+N21/H21</f>
        <v>0.65050320219579139</v>
      </c>
      <c r="Q21" s="147"/>
    </row>
    <row r="22" spans="2:17" ht="16.5" x14ac:dyDescent="0.25">
      <c r="B22" s="128" t="s">
        <v>13</v>
      </c>
      <c r="C22" s="30">
        <f>+C18+C20</f>
        <v>15816.588</v>
      </c>
      <c r="D22" s="30">
        <f>+D21+D18+D14</f>
        <v>26778</v>
      </c>
      <c r="E22" s="151">
        <f>D22/D13</f>
        <v>0.81424270988536507</v>
      </c>
      <c r="F22" s="30">
        <f>+F18+F20</f>
        <v>19764</v>
      </c>
      <c r="G22" s="31">
        <f>F22/D22</f>
        <v>0.73806856374635899</v>
      </c>
      <c r="H22" s="30">
        <f>+H21+H18+H14</f>
        <v>25165</v>
      </c>
      <c r="I22" s="31">
        <f>H22/D22</f>
        <v>0.93976398536111738</v>
      </c>
      <c r="J22" s="30">
        <f>+J20+J18</f>
        <v>21822.390521123758</v>
      </c>
      <c r="K22" s="72">
        <f t="shared" si="2"/>
        <v>0.8671722837720548</v>
      </c>
      <c r="L22" s="30">
        <f>+L20+L18</f>
        <v>22955</v>
      </c>
      <c r="M22" s="71">
        <f t="shared" si="1"/>
        <v>0.91217961454400953</v>
      </c>
      <c r="N22" s="30">
        <f>+N21+N18+N14</f>
        <v>27783</v>
      </c>
      <c r="O22" s="120">
        <f>+N22/H22</f>
        <v>1.1040333796940194</v>
      </c>
      <c r="Q22" s="148">
        <f>+Q18+Q20</f>
        <v>15816588</v>
      </c>
    </row>
    <row r="23" spans="2:17" x14ac:dyDescent="0.25">
      <c r="B23" s="129" t="s">
        <v>14</v>
      </c>
      <c r="C23" s="196"/>
      <c r="D23" s="21"/>
      <c r="E23" s="64"/>
      <c r="F23" s="21"/>
      <c r="G23" s="2"/>
      <c r="H23" s="21"/>
      <c r="I23" s="2"/>
      <c r="J23" s="51"/>
      <c r="K23" s="64"/>
      <c r="L23" s="21"/>
      <c r="M23" s="56"/>
      <c r="N23" s="21"/>
      <c r="O23" s="130"/>
      <c r="Q23" s="146"/>
    </row>
    <row r="24" spans="2:17" ht="16.5" x14ac:dyDescent="0.25">
      <c r="B24" s="116" t="s">
        <v>15</v>
      </c>
      <c r="C24" s="30">
        <f>+Q24/1000</f>
        <v>311.78500000000003</v>
      </c>
      <c r="D24" s="6">
        <f>+H107</f>
        <v>714</v>
      </c>
      <c r="E24" s="205">
        <f t="shared" ref="E24:E25" si="7">+D24/$D$13</f>
        <v>2.1710706358135434E-2</v>
      </c>
      <c r="F24" s="4">
        <v>332</v>
      </c>
      <c r="G24" s="5">
        <f>F24/D24</f>
        <v>0.46498599439775912</v>
      </c>
      <c r="H24" s="6">
        <f>+H78</f>
        <v>675</v>
      </c>
      <c r="I24" s="205">
        <f>H24/D24</f>
        <v>0.94537815126050417</v>
      </c>
      <c r="J24" s="52">
        <v>373</v>
      </c>
      <c r="K24" s="60">
        <f t="shared" si="2"/>
        <v>0.55259259259259264</v>
      </c>
      <c r="L24" s="6">
        <v>373</v>
      </c>
      <c r="M24" s="53">
        <f t="shared" si="1"/>
        <v>0.55259259259259264</v>
      </c>
      <c r="N24" s="6">
        <f>+H49</f>
        <v>1249</v>
      </c>
      <c r="O24" s="118">
        <f>+N24/H24</f>
        <v>1.8503703703703704</v>
      </c>
      <c r="Q24" s="147">
        <v>311785</v>
      </c>
    </row>
    <row r="25" spans="2:17" ht="16.5" x14ac:dyDescent="0.25">
      <c r="B25" s="116" t="s">
        <v>16</v>
      </c>
      <c r="C25" s="30">
        <f>+Q25/1000</f>
        <v>160.404</v>
      </c>
      <c r="D25" s="6">
        <f>+H110</f>
        <v>350</v>
      </c>
      <c r="E25" s="205">
        <f t="shared" si="7"/>
        <v>1.0642503116733055E-2</v>
      </c>
      <c r="F25" s="4">
        <v>92</v>
      </c>
      <c r="G25" s="5">
        <f>F25/D25</f>
        <v>0.26285714285714284</v>
      </c>
      <c r="H25" s="6">
        <f>+H81</f>
        <v>288</v>
      </c>
      <c r="I25" s="205">
        <f>H25/D25</f>
        <v>0.82285714285714284</v>
      </c>
      <c r="J25" s="52">
        <v>349</v>
      </c>
      <c r="K25" s="60">
        <f t="shared" si="2"/>
        <v>1.2118055555555556</v>
      </c>
      <c r="L25" s="6">
        <v>349</v>
      </c>
      <c r="M25" s="53">
        <f t="shared" si="1"/>
        <v>1.2118055555555556</v>
      </c>
      <c r="N25" s="6">
        <f>+H51</f>
        <v>468</v>
      </c>
      <c r="O25" s="118">
        <f>+N25/H25</f>
        <v>1.625</v>
      </c>
      <c r="Q25" s="147">
        <v>160404</v>
      </c>
    </row>
    <row r="26" spans="2:17" ht="16.5" x14ac:dyDescent="0.25">
      <c r="B26" s="116" t="s">
        <v>83</v>
      </c>
      <c r="C26" s="30"/>
      <c r="D26" s="6"/>
      <c r="E26" s="6"/>
      <c r="F26" s="4"/>
      <c r="G26" s="5"/>
      <c r="H26" s="6"/>
      <c r="I26" s="205"/>
      <c r="J26" s="52"/>
      <c r="K26" s="60"/>
      <c r="L26" s="150"/>
      <c r="M26" s="53"/>
      <c r="N26" s="150">
        <f>+H53</f>
        <v>344</v>
      </c>
      <c r="O26" s="118">
        <v>1</v>
      </c>
      <c r="Q26" s="148">
        <f>SUM(Q24:Q25)</f>
        <v>472189</v>
      </c>
    </row>
    <row r="27" spans="2:17" ht="16.5" x14ac:dyDescent="0.25">
      <c r="B27" s="128" t="s">
        <v>17</v>
      </c>
      <c r="C27" s="30">
        <f>+C25+C24</f>
        <v>472.18900000000002</v>
      </c>
      <c r="D27" s="9">
        <f>+D25+D24</f>
        <v>1064</v>
      </c>
      <c r="E27" s="153">
        <f>D27/D13</f>
        <v>3.2353209474868486E-2</v>
      </c>
      <c r="F27" s="11">
        <f>+F24+F25</f>
        <v>424</v>
      </c>
      <c r="G27" s="5">
        <f>F27/D27</f>
        <v>0.39849624060150374</v>
      </c>
      <c r="H27" s="30">
        <f>+H25+H24</f>
        <v>963</v>
      </c>
      <c r="I27" s="31">
        <f>H27/D27</f>
        <v>0.90507518796992481</v>
      </c>
      <c r="J27" s="202">
        <f>+J25+J24</f>
        <v>722</v>
      </c>
      <c r="K27" s="72">
        <f t="shared" si="2"/>
        <v>0.74974039460020769</v>
      </c>
      <c r="L27" s="202">
        <f>+L25+L24</f>
        <v>722</v>
      </c>
      <c r="M27" s="71">
        <f t="shared" si="1"/>
        <v>0.74974039460020769</v>
      </c>
      <c r="N27" s="202">
        <f>+N25+N24+N26</f>
        <v>2061</v>
      </c>
      <c r="O27" s="120">
        <f>+N27/H27</f>
        <v>2.1401869158878504</v>
      </c>
      <c r="Q27" s="148"/>
    </row>
    <row r="28" spans="2:17" x14ac:dyDescent="0.25">
      <c r="B28" s="116" t="s">
        <v>18</v>
      </c>
      <c r="C28" s="196"/>
      <c r="D28" s="21"/>
      <c r="E28" s="64"/>
      <c r="F28" s="21"/>
      <c r="G28" s="2"/>
      <c r="H28" s="21"/>
      <c r="I28" s="21"/>
      <c r="J28" s="51"/>
      <c r="K28" s="64"/>
      <c r="L28" s="21"/>
      <c r="M28" s="56"/>
      <c r="N28" s="21"/>
      <c r="O28" s="130"/>
      <c r="Q28" s="146"/>
    </row>
    <row r="29" spans="2:17" ht="16.5" x14ac:dyDescent="0.25">
      <c r="B29" s="116" t="s">
        <v>19</v>
      </c>
      <c r="C29" s="30">
        <f>+Q29/1000</f>
        <v>3033.6790000000001</v>
      </c>
      <c r="D29" s="12">
        <f>+H115+1350</f>
        <v>5045</v>
      </c>
      <c r="E29" s="205">
        <f t="shared" ref="E29" si="8">+D29/$D$13</f>
        <v>0.15340408063976646</v>
      </c>
      <c r="F29" s="4">
        <f>1209+90+283+126+165</f>
        <v>1873</v>
      </c>
      <c r="G29" s="5">
        <f>F29/D29</f>
        <v>0.37125867195242812</v>
      </c>
      <c r="H29" s="12">
        <v>2934</v>
      </c>
      <c r="I29" s="205">
        <f>H29/D29</f>
        <v>0.58156590683845388</v>
      </c>
      <c r="J29" s="50">
        <v>3475</v>
      </c>
      <c r="K29" s="60">
        <f t="shared" si="2"/>
        <v>1.1843899113837764</v>
      </c>
      <c r="L29" s="12">
        <v>3475</v>
      </c>
      <c r="M29" s="53">
        <f t="shared" si="1"/>
        <v>1.1843899113837764</v>
      </c>
      <c r="N29" s="12">
        <f>+H57+1514</f>
        <v>5536</v>
      </c>
      <c r="O29" s="118">
        <f>+N29/H29</f>
        <v>1.8868438991138379</v>
      </c>
      <c r="Q29" s="147">
        <f>19322456-Q26-Q22</f>
        <v>3033679</v>
      </c>
    </row>
    <row r="30" spans="2:17" ht="16.899999999999999" customHeight="1" x14ac:dyDescent="0.25">
      <c r="B30" s="128" t="s">
        <v>20</v>
      </c>
      <c r="C30" s="30">
        <f>+C29</f>
        <v>3033.6790000000001</v>
      </c>
      <c r="D30" s="30">
        <f>+D29</f>
        <v>5045</v>
      </c>
      <c r="E30" s="120">
        <f>D30/D13</f>
        <v>0.15340408063976646</v>
      </c>
      <c r="F30" s="30">
        <f>+F29</f>
        <v>1873</v>
      </c>
      <c r="G30" s="31">
        <f>F30/D30</f>
        <v>0.37125867195242812</v>
      </c>
      <c r="H30" s="30">
        <f>+H29</f>
        <v>2934</v>
      </c>
      <c r="I30" s="31">
        <f>H30/D30</f>
        <v>0.58156590683845388</v>
      </c>
      <c r="J30" s="30">
        <f>+J29</f>
        <v>3475</v>
      </c>
      <c r="K30" s="72">
        <f t="shared" si="2"/>
        <v>1.1843899113837764</v>
      </c>
      <c r="L30" s="30">
        <f>+L29</f>
        <v>3475</v>
      </c>
      <c r="M30" s="71">
        <f t="shared" si="1"/>
        <v>1.1843899113837764</v>
      </c>
      <c r="N30" s="30">
        <f>+N29</f>
        <v>5536</v>
      </c>
      <c r="O30" s="120">
        <f>+N30/H30</f>
        <v>1.8868438991138379</v>
      </c>
      <c r="Q30" s="148">
        <f>SUM(Q29)</f>
        <v>3033679</v>
      </c>
    </row>
    <row r="31" spans="2:17" ht="18" hidden="1" x14ac:dyDescent="0.25">
      <c r="B31" s="131" t="s">
        <v>21</v>
      </c>
      <c r="C31" s="26"/>
      <c r="D31" s="26"/>
      <c r="E31" s="26"/>
      <c r="F31" s="26"/>
      <c r="G31" s="26"/>
      <c r="H31" s="27">
        <f>+H11-H13</f>
        <v>100</v>
      </c>
      <c r="I31" s="19"/>
      <c r="J31" s="132"/>
      <c r="K31" s="126"/>
      <c r="L31" s="133"/>
      <c r="M31" s="126"/>
      <c r="N31" s="19"/>
      <c r="O31" s="19"/>
    </row>
    <row r="32" spans="2:17" hidden="1" x14ac:dyDescent="0.25">
      <c r="B32" s="135"/>
      <c r="C32" s="136"/>
      <c r="D32" s="136"/>
      <c r="E32" s="136"/>
      <c r="F32" s="136"/>
      <c r="G32" s="136"/>
      <c r="H32" s="136"/>
      <c r="I32" s="136"/>
      <c r="J32" s="132"/>
      <c r="K32" s="126"/>
      <c r="L32" s="133"/>
      <c r="M32" s="126"/>
      <c r="N32" s="126"/>
      <c r="O32" s="134"/>
    </row>
    <row r="33" spans="2:19" ht="17.25" hidden="1" thickBot="1" x14ac:dyDescent="0.3">
      <c r="B33" s="137" t="s">
        <v>75</v>
      </c>
      <c r="C33" s="138">
        <v>0</v>
      </c>
      <c r="D33" s="138">
        <v>0</v>
      </c>
      <c r="E33" s="138"/>
      <c r="F33" s="138"/>
      <c r="G33" s="138"/>
      <c r="H33" s="138">
        <f>+H11-H13</f>
        <v>100</v>
      </c>
      <c r="I33" s="138"/>
      <c r="J33" s="138">
        <f>+J11-J13</f>
        <v>-0.39052112375793513</v>
      </c>
      <c r="K33" s="138"/>
      <c r="L33" s="138">
        <f>+L11-L13</f>
        <v>0</v>
      </c>
      <c r="M33" s="138"/>
      <c r="N33" s="138">
        <f>+N11-N13</f>
        <v>865.49148497047281</v>
      </c>
      <c r="O33" s="139"/>
    </row>
    <row r="34" spans="2:19" x14ac:dyDescent="0.25">
      <c r="B34" s="20"/>
      <c r="C34" s="70"/>
      <c r="D34" s="70"/>
      <c r="E34" s="20"/>
      <c r="F34" s="20"/>
      <c r="G34" s="20"/>
      <c r="H34" s="20"/>
      <c r="I34" s="20"/>
      <c r="J34" s="66"/>
      <c r="K34" s="67"/>
      <c r="M34" s="67"/>
    </row>
    <row r="35" spans="2:19" x14ac:dyDescent="0.25">
      <c r="B35" t="s">
        <v>286</v>
      </c>
      <c r="C35" s="174">
        <f>145000+114105</f>
        <v>259105</v>
      </c>
      <c r="D35" s="38"/>
      <c r="F35" s="20"/>
      <c r="H35" s="20"/>
      <c r="N35" s="162"/>
    </row>
    <row r="36" spans="2:19" x14ac:dyDescent="0.25">
      <c r="C36" s="36"/>
      <c r="D36" s="38"/>
      <c r="F36" s="20"/>
      <c r="H36" s="20"/>
      <c r="N36" s="162"/>
      <c r="Q36" s="20">
        <f>19322456-Q26-Q22</f>
        <v>3033679</v>
      </c>
    </row>
    <row r="37" spans="2:19" ht="15.75" thickBot="1" x14ac:dyDescent="0.3">
      <c r="B37" s="176" t="s">
        <v>283</v>
      </c>
      <c r="C37" s="176" t="s">
        <v>280</v>
      </c>
      <c r="D37" s="177" t="s">
        <v>285</v>
      </c>
      <c r="E37" t="s">
        <v>89</v>
      </c>
      <c r="F37" s="177" t="s">
        <v>35</v>
      </c>
      <c r="G37" s="177" t="s">
        <v>35</v>
      </c>
      <c r="H37" s="187" t="s">
        <v>35</v>
      </c>
      <c r="I37" s="177"/>
      <c r="J37" s="177"/>
      <c r="K37" s="40"/>
      <c r="L37" s="36"/>
      <c r="M37" s="177" t="s">
        <v>281</v>
      </c>
      <c r="N37" s="177" t="s">
        <v>281</v>
      </c>
      <c r="O37" s="178" t="s">
        <v>41</v>
      </c>
    </row>
    <row r="38" spans="2:19" ht="20.25" thickBot="1" x14ac:dyDescent="0.35">
      <c r="B38" s="161" t="s">
        <v>282</v>
      </c>
      <c r="C38" s="172"/>
      <c r="D38" s="181"/>
      <c r="E38" s="181"/>
      <c r="F38" s="175"/>
      <c r="G38" s="175"/>
      <c r="H38" s="175"/>
      <c r="I38" s="175"/>
      <c r="J38" s="38"/>
      <c r="K38" s="38"/>
      <c r="L38" s="38"/>
      <c r="M38" s="38"/>
      <c r="N38" s="40"/>
      <c r="O38" s="40"/>
      <c r="Q38" s="40"/>
      <c r="R38" s="40"/>
      <c r="S38" s="40"/>
    </row>
    <row r="39" spans="2:19" ht="15.75" thickTop="1" x14ac:dyDescent="0.25">
      <c r="B39" s="179" t="s">
        <v>88</v>
      </c>
      <c r="C39" s="180">
        <v>13427500</v>
      </c>
      <c r="D39" s="182">
        <v>224889.84709200001</v>
      </c>
      <c r="E39" s="189">
        <v>62000</v>
      </c>
      <c r="F39" s="181"/>
      <c r="G39" s="181"/>
      <c r="H39" s="181">
        <f>ROUND((+E39+D39+C39)/1000,0)</f>
        <v>13714</v>
      </c>
      <c r="I39" s="181"/>
      <c r="J39" s="183"/>
      <c r="K39" s="183"/>
      <c r="L39" s="183"/>
      <c r="M39" s="183"/>
      <c r="N39" s="39">
        <v>130656.15833538814</v>
      </c>
      <c r="O39" s="38">
        <f>ROUND(N39/1000,0)+H39</f>
        <v>13845</v>
      </c>
      <c r="Q39" s="40"/>
      <c r="R39" s="40"/>
      <c r="S39" s="40"/>
    </row>
    <row r="40" spans="2:19" x14ac:dyDescent="0.25">
      <c r="B40" s="171" t="s">
        <v>42</v>
      </c>
      <c r="C40" s="184">
        <v>739059</v>
      </c>
      <c r="D40" s="184">
        <f>+C35*(C40/(C40+C45))</f>
        <v>149550.0330699659</v>
      </c>
      <c r="E40" s="190"/>
      <c r="F40" s="182"/>
      <c r="G40" s="182"/>
      <c r="H40" s="181">
        <f>ROUND((+E40+D40+C40)/1000,0)</f>
        <v>889</v>
      </c>
      <c r="I40" s="182"/>
      <c r="J40" s="186"/>
      <c r="K40" s="186"/>
      <c r="L40" s="186"/>
      <c r="M40" s="186" t="e">
        <f>+#REF!</f>
        <v>#REF!</v>
      </c>
      <c r="N40" s="39">
        <v>60385.232787972811</v>
      </c>
      <c r="O40" s="38">
        <f>ROUND(N40/1000,0)+H40</f>
        <v>949</v>
      </c>
      <c r="Q40" s="40"/>
      <c r="R40" s="40"/>
      <c r="S40" s="40"/>
    </row>
    <row r="41" spans="2:19" x14ac:dyDescent="0.25">
      <c r="B41" s="165" t="s">
        <v>93</v>
      </c>
      <c r="C41" s="38">
        <v>4550718</v>
      </c>
      <c r="D41" s="175"/>
      <c r="E41" s="190"/>
      <c r="F41" s="175"/>
      <c r="G41" s="175"/>
      <c r="H41" s="181">
        <f>ROUND((+E41+D41+C41)/1000,0)</f>
        <v>4551</v>
      </c>
      <c r="I41" s="175"/>
      <c r="J41" s="38"/>
      <c r="K41" s="38"/>
      <c r="L41" s="38"/>
      <c r="M41" s="38"/>
      <c r="N41" s="39">
        <v>63809.029602407449</v>
      </c>
      <c r="O41" s="38">
        <f>ROUND(N41/1000,0)+H41</f>
        <v>4615</v>
      </c>
      <c r="Q41" s="40"/>
      <c r="R41" s="40"/>
      <c r="S41" s="40"/>
    </row>
    <row r="42" spans="2:19" x14ac:dyDescent="0.25">
      <c r="C42" s="38"/>
      <c r="D42" s="175"/>
      <c r="E42" s="173"/>
      <c r="F42" s="175"/>
      <c r="G42" s="175"/>
      <c r="H42" s="175"/>
      <c r="I42" s="175"/>
      <c r="J42" s="38"/>
      <c r="K42" s="38"/>
      <c r="L42" s="38"/>
      <c r="M42" s="38"/>
      <c r="O42" s="38"/>
      <c r="Q42" s="40"/>
      <c r="R42" s="40"/>
      <c r="S42" s="40"/>
    </row>
    <row r="43" spans="2:19" ht="20.25" thickBot="1" x14ac:dyDescent="0.35">
      <c r="B43" s="161" t="s">
        <v>284</v>
      </c>
      <c r="C43" s="38"/>
      <c r="D43" s="175"/>
      <c r="E43" s="173"/>
      <c r="F43" s="175"/>
      <c r="G43" s="175"/>
      <c r="H43" s="175"/>
      <c r="I43" s="175"/>
      <c r="J43" s="38"/>
      <c r="K43" s="38"/>
      <c r="L43" s="38"/>
      <c r="M43" s="38"/>
      <c r="O43" s="38"/>
      <c r="Q43" s="40"/>
      <c r="R43" s="40"/>
      <c r="S43" s="40"/>
    </row>
    <row r="44" spans="2:19" ht="15.75" thickTop="1" x14ac:dyDescent="0.25">
      <c r="B44" s="165" t="s">
        <v>87</v>
      </c>
      <c r="C44" s="38">
        <v>7265929</v>
      </c>
      <c r="D44" s="175"/>
      <c r="E44" s="173"/>
      <c r="F44" s="175"/>
      <c r="G44" s="175"/>
      <c r="H44" s="181">
        <f>ROUND((+E44+D44+C44)/1000,0)</f>
        <v>7266</v>
      </c>
      <c r="I44" s="175"/>
      <c r="J44" s="38"/>
      <c r="K44" s="38"/>
      <c r="L44" s="38"/>
      <c r="M44" s="38"/>
      <c r="N44" s="39">
        <v>101881.0391349213</v>
      </c>
      <c r="O44" s="38">
        <f>ROUND(N44/1000,0)+H44</f>
        <v>7368</v>
      </c>
      <c r="P44" s="39"/>
      <c r="Q44" s="40"/>
      <c r="R44" s="40"/>
      <c r="S44" s="40"/>
    </row>
    <row r="45" spans="2:19" x14ac:dyDescent="0.25">
      <c r="B45" s="164" t="s">
        <v>42</v>
      </c>
      <c r="C45" s="38">
        <v>541408</v>
      </c>
      <c r="D45" s="184">
        <f>+C35*(C45/(C45+C40))</f>
        <v>109554.96693003412</v>
      </c>
      <c r="E45" s="173"/>
      <c r="F45" s="175"/>
      <c r="G45" s="175"/>
      <c r="H45" s="181">
        <f>ROUND((+E45+D45+C45)/1000,0)</f>
        <v>651</v>
      </c>
      <c r="I45" s="175"/>
      <c r="J45" s="38"/>
      <c r="K45" s="38"/>
      <c r="L45" s="38"/>
      <c r="M45" s="38"/>
      <c r="N45" s="39">
        <v>44236.046260543175</v>
      </c>
      <c r="O45" s="38">
        <f>ROUND(N45/1000,0)+H45</f>
        <v>695</v>
      </c>
      <c r="Q45" s="40"/>
      <c r="R45" s="40"/>
      <c r="S45" s="40"/>
    </row>
    <row r="46" spans="2:19" x14ac:dyDescent="0.25">
      <c r="B46" s="164" t="s">
        <v>94</v>
      </c>
      <c r="C46" s="38">
        <v>622792</v>
      </c>
      <c r="D46" s="175">
        <v>85524.63</v>
      </c>
      <c r="E46" s="190">
        <v>2200</v>
      </c>
      <c r="F46" s="175"/>
      <c r="G46" s="175"/>
      <c r="H46" s="181">
        <f>ROUND((+E46+D46+C46)/1000,0)</f>
        <v>711</v>
      </c>
      <c r="I46" s="175"/>
      <c r="J46" s="38"/>
      <c r="K46" s="38"/>
      <c r="L46" s="38"/>
      <c r="M46" s="38"/>
      <c r="N46" s="39">
        <v>19609.042082191783</v>
      </c>
      <c r="O46" s="38">
        <f>ROUND(N46/1000,0)+H46</f>
        <v>731</v>
      </c>
      <c r="Q46" s="57"/>
    </row>
    <row r="47" spans="2:19" x14ac:dyDescent="0.25">
      <c r="C47" s="38"/>
      <c r="D47" s="175"/>
      <c r="E47" s="173"/>
      <c r="F47" s="175"/>
      <c r="G47" s="175"/>
      <c r="H47" s="175"/>
      <c r="I47" s="175"/>
      <c r="J47" s="38"/>
      <c r="K47" s="38"/>
      <c r="L47" s="38"/>
      <c r="M47" s="38"/>
      <c r="O47" s="38"/>
    </row>
    <row r="48" spans="2:19" ht="20.25" thickBot="1" x14ac:dyDescent="0.35">
      <c r="B48" s="161" t="s">
        <v>90</v>
      </c>
      <c r="C48" s="38"/>
      <c r="D48" s="175"/>
      <c r="E48" s="190"/>
      <c r="F48" s="175"/>
      <c r="G48" s="175"/>
      <c r="H48" s="175"/>
      <c r="I48" s="175"/>
      <c r="J48" s="38"/>
      <c r="K48" s="38"/>
      <c r="L48" s="38"/>
      <c r="M48" s="38"/>
      <c r="O48" s="38"/>
    </row>
    <row r="49" spans="2:15" ht="15.75" thickTop="1" x14ac:dyDescent="0.25">
      <c r="C49" s="38">
        <v>492000</v>
      </c>
      <c r="D49" s="175">
        <v>200641.12418400001</v>
      </c>
      <c r="E49" s="173">
        <v>556800</v>
      </c>
      <c r="F49" s="175"/>
      <c r="G49" s="175"/>
      <c r="H49" s="181">
        <f>ROUND((+E49+D49+C49)/1000,0)</f>
        <v>1249</v>
      </c>
      <c r="I49" s="175"/>
      <c r="J49" s="38"/>
      <c r="K49" s="38"/>
      <c r="L49" s="38"/>
      <c r="M49" s="38"/>
      <c r="N49" s="39">
        <v>90580.469538812788</v>
      </c>
      <c r="O49" s="38">
        <f>ROUND(N49/1000,0)+H49</f>
        <v>1340</v>
      </c>
    </row>
    <row r="50" spans="2:15" x14ac:dyDescent="0.25">
      <c r="C50" s="38"/>
      <c r="D50" s="175"/>
      <c r="E50" s="173"/>
      <c r="F50" s="175"/>
      <c r="G50" s="175"/>
      <c r="H50" s="175"/>
      <c r="I50" s="175"/>
      <c r="J50" s="38"/>
      <c r="K50" s="38"/>
      <c r="L50" s="38"/>
      <c r="M50" s="38"/>
      <c r="O50" s="38"/>
    </row>
    <row r="51" spans="2:15" ht="20.25" thickBot="1" x14ac:dyDescent="0.35">
      <c r="B51" s="161" t="s">
        <v>91</v>
      </c>
      <c r="C51" s="38"/>
      <c r="D51" s="175">
        <v>157367.07078400001</v>
      </c>
      <c r="E51" s="190">
        <v>310800</v>
      </c>
      <c r="F51" s="175"/>
      <c r="G51" s="175"/>
      <c r="H51" s="181">
        <f>ROUND((+E51+D51+C51)/1000,0)</f>
        <v>468</v>
      </c>
      <c r="I51" s="175"/>
      <c r="J51" s="38"/>
      <c r="K51" s="38"/>
      <c r="L51" s="38"/>
      <c r="M51" s="38"/>
      <c r="N51" s="39">
        <v>87609.443388127853</v>
      </c>
      <c r="O51" s="38">
        <f>ROUND(N51/1000,0)+H51</f>
        <v>556</v>
      </c>
    </row>
    <row r="52" spans="2:15" ht="15.75" thickTop="1" x14ac:dyDescent="0.25">
      <c r="C52" s="38"/>
      <c r="D52" s="175"/>
      <c r="E52" s="173"/>
      <c r="F52" s="175"/>
      <c r="G52" s="175"/>
      <c r="H52" s="175"/>
      <c r="I52" s="175"/>
      <c r="J52" s="38"/>
      <c r="K52" s="38"/>
      <c r="L52" s="38"/>
      <c r="M52" s="38"/>
      <c r="O52" s="38"/>
    </row>
    <row r="53" spans="2:15" ht="20.25" thickBot="1" x14ac:dyDescent="0.35">
      <c r="B53" s="161" t="s">
        <v>287</v>
      </c>
      <c r="C53" s="38"/>
      <c r="D53" s="175">
        <v>108338.87</v>
      </c>
      <c r="E53" s="173">
        <v>236000</v>
      </c>
      <c r="F53" s="175"/>
      <c r="G53" s="175"/>
      <c r="H53" s="181">
        <f>ROUND((+E53+D53+C53)/1000,0)</f>
        <v>344</v>
      </c>
      <c r="I53" s="175"/>
      <c r="J53" s="38"/>
      <c r="K53" s="38"/>
      <c r="L53" s="38"/>
      <c r="M53" s="38"/>
      <c r="O53" s="38">
        <f>ROUND(N53/1000,0)+H53</f>
        <v>344</v>
      </c>
    </row>
    <row r="54" spans="2:15" ht="15.75" thickTop="1" x14ac:dyDescent="0.25">
      <c r="C54" s="38"/>
      <c r="D54" s="175"/>
      <c r="E54" s="175"/>
      <c r="F54" s="175"/>
      <c r="G54" s="175"/>
      <c r="H54" s="175"/>
      <c r="I54" s="175"/>
      <c r="J54" s="38"/>
      <c r="K54" s="38"/>
      <c r="L54" s="38"/>
      <c r="M54" s="38"/>
      <c r="O54" s="38"/>
    </row>
    <row r="55" spans="2:15" x14ac:dyDescent="0.25">
      <c r="B55" s="188" t="s">
        <v>13</v>
      </c>
      <c r="C55" s="38">
        <f>SUM(C39:C53)</f>
        <v>27639406</v>
      </c>
      <c r="D55" s="38">
        <f>SUM(D39:D53)</f>
        <v>1035866.54206</v>
      </c>
      <c r="E55" s="40">
        <f>SUM(E39:E53)</f>
        <v>1167800</v>
      </c>
      <c r="F55" s="175"/>
      <c r="G55" s="175"/>
      <c r="H55" s="40">
        <f>SUM(H39:H53)</f>
        <v>29843</v>
      </c>
      <c r="I55" s="175"/>
      <c r="J55" s="38"/>
      <c r="K55" s="38"/>
      <c r="L55" s="38"/>
      <c r="M55" s="38"/>
      <c r="N55" s="40">
        <v>598766.46113036526</v>
      </c>
      <c r="O55" s="40">
        <f>SUM(O39:O53)</f>
        <v>30443</v>
      </c>
    </row>
    <row r="56" spans="2:15" x14ac:dyDescent="0.25">
      <c r="C56" s="38"/>
      <c r="D56" s="185"/>
      <c r="E56" s="175"/>
      <c r="F56" s="175"/>
      <c r="G56" s="175"/>
      <c r="H56" s="175"/>
      <c r="I56" s="175"/>
      <c r="J56" s="38"/>
      <c r="K56" s="38"/>
      <c r="L56" s="38"/>
      <c r="M56" s="38"/>
      <c r="O56" s="38"/>
    </row>
    <row r="57" spans="2:15" x14ac:dyDescent="0.25">
      <c r="B57" s="188" t="s">
        <v>92</v>
      </c>
      <c r="C57" s="38"/>
      <c r="D57" s="175"/>
      <c r="E57" s="175"/>
      <c r="F57" s="175"/>
      <c r="G57" s="175"/>
      <c r="H57" s="173">
        <f>35379-H55-1514</f>
        <v>4022</v>
      </c>
      <c r="I57" s="175"/>
      <c r="J57" s="38"/>
      <c r="K57" s="38"/>
      <c r="L57" s="38"/>
      <c r="M57" s="38"/>
      <c r="N57" s="39">
        <v>915235.53886963474</v>
      </c>
      <c r="O57" s="40">
        <f>ROUND(N57/1000,0)+H57</f>
        <v>4937</v>
      </c>
    </row>
    <row r="58" spans="2:15" x14ac:dyDescent="0.25">
      <c r="C58" s="38"/>
      <c r="D58" s="175"/>
      <c r="E58" s="175"/>
      <c r="F58" s="175"/>
      <c r="G58" s="175"/>
      <c r="H58" s="175"/>
      <c r="I58" s="175"/>
      <c r="J58" s="38"/>
      <c r="K58" s="38"/>
      <c r="L58" s="38"/>
      <c r="M58" s="38"/>
      <c r="O58" s="38"/>
    </row>
    <row r="59" spans="2:15" x14ac:dyDescent="0.25">
      <c r="C59" s="38"/>
      <c r="D59" s="185"/>
      <c r="E59" s="175"/>
      <c r="F59" s="175"/>
      <c r="G59" s="175"/>
      <c r="H59" s="175"/>
      <c r="I59" s="175"/>
      <c r="J59" s="38"/>
      <c r="K59" s="38"/>
      <c r="L59" s="38"/>
      <c r="M59" s="38"/>
      <c r="O59" s="38"/>
    </row>
    <row r="60" spans="2:15" x14ac:dyDescent="0.25">
      <c r="B60" s="188" t="s">
        <v>288</v>
      </c>
      <c r="C60" s="38"/>
      <c r="D60" s="175"/>
      <c r="E60" s="175"/>
      <c r="F60" s="175"/>
      <c r="G60" s="175"/>
      <c r="H60" s="175"/>
      <c r="I60" s="175"/>
      <c r="J60" s="38"/>
      <c r="K60" s="38"/>
      <c r="L60" s="38"/>
      <c r="M60" s="38"/>
      <c r="O60" s="38">
        <f>+O57+O55</f>
        <v>35380</v>
      </c>
    </row>
    <row r="61" spans="2:15" x14ac:dyDescent="0.25">
      <c r="C61" s="38"/>
      <c r="D61" s="175"/>
      <c r="E61" s="175"/>
      <c r="F61" s="175"/>
      <c r="G61" s="175"/>
      <c r="H61" s="175"/>
      <c r="I61" s="175"/>
      <c r="J61" s="38"/>
      <c r="K61" s="38"/>
      <c r="L61" s="38"/>
      <c r="M61" s="38"/>
      <c r="O61" s="38"/>
    </row>
    <row r="62" spans="2:15" x14ac:dyDescent="0.25">
      <c r="C62" s="38"/>
      <c r="D62" s="175"/>
      <c r="E62" s="175"/>
      <c r="F62" s="175"/>
      <c r="G62" s="175"/>
      <c r="H62" s="175"/>
      <c r="I62" s="175"/>
      <c r="J62" s="38"/>
      <c r="K62" s="38"/>
      <c r="L62" s="38"/>
      <c r="M62" s="38"/>
      <c r="O62" s="38"/>
    </row>
    <row r="63" spans="2:15" x14ac:dyDescent="0.25">
      <c r="C63" s="38"/>
      <c r="D63" s="175"/>
      <c r="E63" s="175"/>
      <c r="F63" s="175"/>
      <c r="G63" s="175"/>
      <c r="H63" s="175"/>
      <c r="I63" s="175"/>
      <c r="J63" s="38"/>
      <c r="K63" s="38"/>
      <c r="L63" s="38"/>
      <c r="M63" s="38"/>
      <c r="O63" s="38"/>
    </row>
    <row r="64" spans="2:15" ht="22.5" x14ac:dyDescent="0.3">
      <c r="B64" s="160">
        <v>2013</v>
      </c>
      <c r="C64" s="38"/>
      <c r="D64" s="175"/>
      <c r="E64" s="175"/>
      <c r="F64" s="175"/>
      <c r="G64" s="175"/>
      <c r="H64" s="175"/>
      <c r="I64" s="175"/>
      <c r="J64" s="38"/>
      <c r="K64" s="38"/>
      <c r="L64" s="38"/>
      <c r="M64" s="38"/>
      <c r="O64" s="38"/>
    </row>
    <row r="65" spans="2:15" x14ac:dyDescent="0.25"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O65" s="38"/>
    </row>
    <row r="66" spans="2:15" ht="15.75" thickBot="1" x14ac:dyDescent="0.3">
      <c r="B66" s="176" t="s">
        <v>283</v>
      </c>
      <c r="C66" s="176" t="s">
        <v>280</v>
      </c>
      <c r="D66" s="177" t="s">
        <v>285</v>
      </c>
      <c r="E66" t="s">
        <v>89</v>
      </c>
      <c r="F66" s="177" t="s">
        <v>35</v>
      </c>
      <c r="G66" s="177" t="s">
        <v>35</v>
      </c>
      <c r="H66" s="187" t="s">
        <v>35</v>
      </c>
      <c r="I66" s="177"/>
      <c r="J66" s="177"/>
      <c r="K66" s="40"/>
      <c r="L66" s="36"/>
      <c r="M66" s="177" t="s">
        <v>281</v>
      </c>
      <c r="N66" s="177" t="s">
        <v>281</v>
      </c>
      <c r="O66" s="178" t="s">
        <v>41</v>
      </c>
    </row>
    <row r="67" spans="2:15" ht="20.25" thickBot="1" x14ac:dyDescent="0.35">
      <c r="B67" s="161" t="s">
        <v>282</v>
      </c>
      <c r="C67" s="172"/>
      <c r="D67" s="181"/>
      <c r="E67" s="181"/>
      <c r="F67" s="175"/>
      <c r="G67" s="175"/>
      <c r="H67" s="175"/>
      <c r="I67" s="175"/>
      <c r="J67" s="38"/>
      <c r="K67" s="38"/>
      <c r="L67" s="38"/>
      <c r="M67" s="38"/>
      <c r="N67" s="40"/>
      <c r="O67" s="40"/>
    </row>
    <row r="68" spans="2:15" ht="15.75" thickTop="1" x14ac:dyDescent="0.25">
      <c r="B68" s="179" t="s">
        <v>88</v>
      </c>
      <c r="C68" s="180">
        <v>12766000</v>
      </c>
      <c r="D68" s="182"/>
      <c r="E68" s="189"/>
      <c r="F68" s="181"/>
      <c r="G68" s="181"/>
      <c r="H68" s="181">
        <f>ROUND((+E68+D68+C68)/1000,0)</f>
        <v>12766</v>
      </c>
      <c r="I68" s="181"/>
      <c r="J68" s="183"/>
      <c r="K68" s="183"/>
      <c r="L68" s="183"/>
      <c r="M68" s="183"/>
      <c r="N68" s="39">
        <v>117</v>
      </c>
      <c r="O68" s="38">
        <f>+N68+H68</f>
        <v>12883</v>
      </c>
    </row>
    <row r="69" spans="2:15" x14ac:dyDescent="0.25">
      <c r="B69" s="171" t="s">
        <v>42</v>
      </c>
      <c r="C69" s="184">
        <v>204920</v>
      </c>
      <c r="D69" s="184">
        <f>+C64*(C69/(C69+C74))</f>
        <v>0</v>
      </c>
      <c r="E69" s="190"/>
      <c r="F69" s="182"/>
      <c r="G69" s="182"/>
      <c r="H69" s="181">
        <f>ROUND((+E69+D69+C69)/1000,0)</f>
        <v>205</v>
      </c>
      <c r="I69" s="182"/>
      <c r="J69" s="186"/>
      <c r="K69" s="186"/>
      <c r="L69" s="186"/>
      <c r="M69" s="186" t="e">
        <f>+#REF!</f>
        <v>#REF!</v>
      </c>
      <c r="N69" s="39">
        <v>19</v>
      </c>
      <c r="O69" s="38">
        <f>ROUND(+N69+H69,0)</f>
        <v>224</v>
      </c>
    </row>
    <row r="70" spans="2:15" x14ac:dyDescent="0.25">
      <c r="B70" s="165" t="s">
        <v>93</v>
      </c>
      <c r="C70" s="38">
        <v>3959335</v>
      </c>
      <c r="D70" s="175"/>
      <c r="E70" s="190"/>
      <c r="F70" s="175"/>
      <c r="G70" s="175"/>
      <c r="H70" s="181">
        <f>ROUND((+E70+D70+C70)/1000,0)</f>
        <v>3959</v>
      </c>
      <c r="I70" s="175"/>
      <c r="J70" s="38"/>
      <c r="K70" s="38"/>
      <c r="L70" s="38"/>
      <c r="M70" s="38"/>
      <c r="N70" s="39">
        <v>57</v>
      </c>
      <c r="O70" s="38">
        <f>ROUND(+N70+H70,0)</f>
        <v>4016</v>
      </c>
    </row>
    <row r="71" spans="2:15" x14ac:dyDescent="0.25">
      <c r="C71" s="38"/>
      <c r="D71" s="175"/>
      <c r="E71" s="173"/>
      <c r="F71" s="175"/>
      <c r="G71" s="175"/>
      <c r="H71" s="175"/>
      <c r="I71" s="175"/>
      <c r="J71" s="38"/>
      <c r="K71" s="38"/>
      <c r="L71" s="38"/>
      <c r="M71" s="38"/>
      <c r="O71" s="38"/>
    </row>
    <row r="72" spans="2:15" ht="20.25" thickBot="1" x14ac:dyDescent="0.35">
      <c r="B72" s="161" t="s">
        <v>284</v>
      </c>
      <c r="C72" s="38"/>
      <c r="D72" s="175"/>
      <c r="E72" s="173"/>
      <c r="F72" s="175"/>
      <c r="G72" s="175"/>
      <c r="H72" s="175"/>
      <c r="I72" s="175"/>
      <c r="J72" s="38"/>
      <c r="K72" s="38"/>
      <c r="L72" s="38"/>
      <c r="M72" s="38"/>
      <c r="O72" s="38"/>
    </row>
    <row r="73" spans="2:15" ht="15.75" thickTop="1" x14ac:dyDescent="0.25">
      <c r="B73" s="165" t="s">
        <v>87</v>
      </c>
      <c r="C73" s="38">
        <v>6333121</v>
      </c>
      <c r="D73" s="175"/>
      <c r="E73" s="173"/>
      <c r="F73" s="175"/>
      <c r="G73" s="175"/>
      <c r="H73" s="181">
        <f>ROUND((+E73+D73+C73)/1000,0)</f>
        <v>6333</v>
      </c>
      <c r="I73" s="175"/>
      <c r="J73" s="38"/>
      <c r="K73" s="38"/>
      <c r="L73" s="38"/>
      <c r="M73" s="38"/>
      <c r="N73" s="39">
        <v>91</v>
      </c>
      <c r="O73" s="38">
        <f>ROUND(N73/1000,0)+H73</f>
        <v>6333</v>
      </c>
    </row>
    <row r="74" spans="2:15" x14ac:dyDescent="0.25">
      <c r="B74" s="164" t="s">
        <v>42</v>
      </c>
      <c r="C74" s="38">
        <v>808815</v>
      </c>
      <c r="D74" s="184">
        <f>+C64*(C74/(C74+C69))</f>
        <v>0</v>
      </c>
      <c r="E74" s="173"/>
      <c r="F74" s="175"/>
      <c r="G74" s="175"/>
      <c r="H74" s="181">
        <f>ROUND((+E74+D74+C74)/1000,0)</f>
        <v>809</v>
      </c>
      <c r="I74" s="175"/>
      <c r="J74" s="38"/>
      <c r="K74" s="38"/>
      <c r="L74" s="38"/>
      <c r="M74" s="38"/>
      <c r="N74" s="39">
        <v>74</v>
      </c>
      <c r="O74" s="38">
        <f>ROUND(+N74+H74,0)</f>
        <v>883</v>
      </c>
    </row>
    <row r="75" spans="2:15" x14ac:dyDescent="0.25">
      <c r="B75" s="164" t="s">
        <v>94</v>
      </c>
      <c r="C75" s="38">
        <v>1093427</v>
      </c>
      <c r="D75" s="175"/>
      <c r="E75" s="190"/>
      <c r="F75" s="175"/>
      <c r="G75" s="175"/>
      <c r="H75" s="181">
        <f>ROUND((+E75+D75+C75)/1000,0)</f>
        <v>1093</v>
      </c>
      <c r="I75" s="175"/>
      <c r="J75" s="38"/>
      <c r="K75" s="38"/>
      <c r="L75" s="38"/>
      <c r="M75" s="38"/>
      <c r="N75" s="39">
        <v>17</v>
      </c>
      <c r="O75" s="38">
        <f>ROUND(N75/1000,0)+H75</f>
        <v>1093</v>
      </c>
    </row>
    <row r="76" spans="2:15" x14ac:dyDescent="0.25">
      <c r="C76" s="38"/>
      <c r="D76" s="175"/>
      <c r="E76" s="173"/>
      <c r="F76" s="175"/>
      <c r="G76" s="175"/>
      <c r="H76" s="175"/>
      <c r="I76" s="175"/>
      <c r="J76" s="38"/>
      <c r="K76" s="38"/>
      <c r="L76" s="38"/>
      <c r="M76" s="38"/>
      <c r="O76" s="38"/>
    </row>
    <row r="77" spans="2:15" ht="20.25" thickBot="1" x14ac:dyDescent="0.35">
      <c r="B77" s="161" t="s">
        <v>90</v>
      </c>
      <c r="C77" s="38"/>
      <c r="D77" s="175"/>
      <c r="E77" s="190"/>
      <c r="F77" s="175"/>
      <c r="G77" s="175"/>
      <c r="H77" s="175"/>
      <c r="I77" s="175"/>
      <c r="J77" s="38"/>
      <c r="K77" s="38"/>
      <c r="L77" s="38"/>
      <c r="M77" s="38"/>
      <c r="O77" s="38"/>
    </row>
    <row r="78" spans="2:15" ht="15.75" thickTop="1" x14ac:dyDescent="0.25">
      <c r="C78" s="38">
        <v>538688</v>
      </c>
      <c r="D78" s="175">
        <v>136644</v>
      </c>
      <c r="E78" s="173"/>
      <c r="F78" s="175"/>
      <c r="G78" s="175"/>
      <c r="H78" s="181">
        <f>ROUND((+E78+D78+C78)/1000,0)</f>
        <v>675</v>
      </c>
      <c r="I78" s="175"/>
      <c r="J78" s="38"/>
      <c r="K78" s="38"/>
      <c r="L78" s="38"/>
      <c r="M78" s="38"/>
      <c r="N78" s="39">
        <v>81</v>
      </c>
      <c r="O78" s="38">
        <f>ROUND(N78/1000,0)+H78</f>
        <v>675</v>
      </c>
    </row>
    <row r="79" spans="2:15" x14ac:dyDescent="0.25">
      <c r="C79" s="38"/>
      <c r="D79" s="175"/>
      <c r="E79" s="173"/>
      <c r="F79" s="175"/>
      <c r="G79" s="175"/>
      <c r="H79" s="175"/>
      <c r="I79" s="175"/>
      <c r="J79" s="38"/>
      <c r="K79" s="38"/>
      <c r="L79" s="38"/>
      <c r="M79" s="38"/>
      <c r="O79" s="38"/>
    </row>
    <row r="80" spans="2:15" ht="20.25" thickBot="1" x14ac:dyDescent="0.35">
      <c r="B80" s="161" t="s">
        <v>91</v>
      </c>
      <c r="C80" s="38"/>
      <c r="D80" s="175"/>
      <c r="E80" s="190"/>
      <c r="F80" s="175"/>
      <c r="G80" s="175"/>
      <c r="H80" s="181"/>
      <c r="I80" s="175"/>
      <c r="J80" s="38"/>
      <c r="K80" s="38"/>
      <c r="L80" s="38"/>
      <c r="M80" s="38"/>
      <c r="N80" s="39"/>
      <c r="O80" s="38"/>
    </row>
    <row r="81" spans="2:15" ht="15.75" thickTop="1" x14ac:dyDescent="0.25">
      <c r="C81" s="38">
        <v>167200</v>
      </c>
      <c r="D81" s="175">
        <v>120909</v>
      </c>
      <c r="E81" s="173"/>
      <c r="F81" s="175"/>
      <c r="G81" s="175"/>
      <c r="H81" s="181">
        <f>ROUND((+E81+D81+C81)/1000,0)</f>
        <v>288</v>
      </c>
      <c r="I81" s="175"/>
      <c r="J81" s="38"/>
      <c r="K81" s="38"/>
      <c r="L81" s="38"/>
      <c r="M81" s="38"/>
      <c r="N81">
        <v>78</v>
      </c>
      <c r="O81" s="38">
        <f>+N81+H81</f>
        <v>366</v>
      </c>
    </row>
    <row r="82" spans="2:15" ht="20.25" thickBot="1" x14ac:dyDescent="0.35">
      <c r="B82" s="161" t="s">
        <v>287</v>
      </c>
      <c r="C82" s="38"/>
      <c r="D82" s="175"/>
      <c r="E82" s="173"/>
      <c r="F82" s="175"/>
      <c r="G82" s="175"/>
      <c r="H82" s="181"/>
      <c r="I82" s="175"/>
      <c r="J82" s="38"/>
      <c r="K82" s="38"/>
      <c r="L82" s="38"/>
      <c r="M82" s="38"/>
      <c r="O82" s="38"/>
    </row>
    <row r="83" spans="2:15" ht="15.75" thickTop="1" x14ac:dyDescent="0.25">
      <c r="C83" s="38"/>
      <c r="D83" s="175"/>
      <c r="E83" s="175"/>
      <c r="F83" s="175"/>
      <c r="G83" s="175"/>
      <c r="H83" s="175"/>
      <c r="I83" s="175"/>
      <c r="J83" s="38"/>
      <c r="K83" s="38"/>
      <c r="L83" s="38"/>
      <c r="M83" s="38"/>
      <c r="O83" s="38"/>
    </row>
    <row r="84" spans="2:15" x14ac:dyDescent="0.25">
      <c r="B84" s="188" t="s">
        <v>13</v>
      </c>
      <c r="C84" s="38">
        <f>SUM(C68:C82)</f>
        <v>25871506</v>
      </c>
      <c r="D84" s="38">
        <f>SUM(D68:D82)</f>
        <v>257553</v>
      </c>
      <c r="E84" s="40">
        <f>SUM(E68:E82)</f>
        <v>0</v>
      </c>
      <c r="F84" s="175"/>
      <c r="G84" s="175"/>
      <c r="H84" s="38">
        <f>SUM(H68:H82)</f>
        <v>26128</v>
      </c>
      <c r="I84" s="175"/>
      <c r="J84" s="38"/>
      <c r="K84" s="38"/>
      <c r="L84" s="38"/>
      <c r="M84" s="38"/>
      <c r="N84" s="38">
        <f>SUM(N68:N82)</f>
        <v>534</v>
      </c>
      <c r="O84" s="40">
        <f>SUM(O68:O82)</f>
        <v>26473</v>
      </c>
    </row>
    <row r="85" spans="2:15" x14ac:dyDescent="0.25">
      <c r="C85" s="38"/>
      <c r="D85" s="185"/>
      <c r="E85" s="175"/>
      <c r="F85" s="175"/>
      <c r="G85" s="175"/>
      <c r="H85" s="175"/>
      <c r="I85" s="175"/>
      <c r="J85" s="38"/>
      <c r="K85" s="38"/>
      <c r="L85" s="38"/>
      <c r="M85" s="38"/>
      <c r="O85" s="38"/>
    </row>
    <row r="86" spans="2:15" x14ac:dyDescent="0.25">
      <c r="B86" s="188" t="s">
        <v>92</v>
      </c>
      <c r="C86" s="38">
        <v>3284000</v>
      </c>
      <c r="D86" s="175"/>
      <c r="E86" s="175"/>
      <c r="F86" s="175"/>
      <c r="G86" s="175"/>
      <c r="H86" s="181">
        <f>3034-100</f>
        <v>2934</v>
      </c>
      <c r="I86" s="175"/>
      <c r="J86" s="38"/>
      <c r="K86" s="38"/>
      <c r="L86" s="38"/>
      <c r="M86" s="38"/>
      <c r="N86" s="39">
        <f>1350-N84</f>
        <v>816</v>
      </c>
      <c r="O86" s="38">
        <f>+N86+H86</f>
        <v>3750</v>
      </c>
    </row>
    <row r="87" spans="2:15" x14ac:dyDescent="0.25">
      <c r="C87" s="38"/>
      <c r="D87" s="175"/>
      <c r="E87" s="175"/>
      <c r="F87" s="175"/>
      <c r="G87" s="175"/>
      <c r="H87" s="175"/>
      <c r="I87" s="175"/>
      <c r="J87" s="38"/>
      <c r="K87" s="38"/>
      <c r="L87" s="38"/>
      <c r="M87" s="38"/>
      <c r="O87" s="38"/>
    </row>
    <row r="88" spans="2:15" x14ac:dyDescent="0.25">
      <c r="C88" s="38"/>
      <c r="D88" s="185"/>
      <c r="E88" s="175"/>
      <c r="F88" s="175"/>
      <c r="G88" s="175"/>
      <c r="H88" s="175"/>
      <c r="I88" s="175"/>
      <c r="J88" s="38"/>
      <c r="K88" s="38"/>
      <c r="L88" s="38"/>
      <c r="M88" s="38"/>
      <c r="O88" s="38"/>
    </row>
    <row r="89" spans="2:15" x14ac:dyDescent="0.25">
      <c r="B89" s="188" t="s">
        <v>288</v>
      </c>
      <c r="C89" s="38"/>
      <c r="D89" s="175"/>
      <c r="E89" s="175"/>
      <c r="F89" s="175"/>
      <c r="G89" s="175"/>
      <c r="H89" s="175">
        <f>+H86+H84</f>
        <v>29062</v>
      </c>
      <c r="I89" s="175"/>
      <c r="J89" s="38"/>
      <c r="K89" s="38"/>
      <c r="L89" s="38"/>
      <c r="M89" s="38"/>
      <c r="O89" s="38">
        <f>+O86+O84</f>
        <v>30223</v>
      </c>
    </row>
    <row r="93" spans="2:15" ht="22.5" x14ac:dyDescent="0.3">
      <c r="B93" s="160" t="s">
        <v>289</v>
      </c>
      <c r="C93" s="38"/>
      <c r="D93" s="175"/>
      <c r="E93" s="175"/>
      <c r="F93" s="175"/>
      <c r="G93" s="175"/>
      <c r="H93" s="175"/>
      <c r="I93" s="175"/>
      <c r="J93" s="38"/>
      <c r="K93" s="38"/>
      <c r="L93" s="38"/>
      <c r="M93" s="38"/>
      <c r="O93" s="38"/>
    </row>
    <row r="94" spans="2:15" x14ac:dyDescent="0.25"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O94" s="38"/>
    </row>
    <row r="95" spans="2:15" ht="15.75" thickBot="1" x14ac:dyDescent="0.3">
      <c r="B95" s="176" t="s">
        <v>283</v>
      </c>
      <c r="C95" s="176" t="s">
        <v>280</v>
      </c>
      <c r="D95" s="177" t="s">
        <v>285</v>
      </c>
      <c r="E95" t="s">
        <v>89</v>
      </c>
      <c r="F95" s="177" t="s">
        <v>35</v>
      </c>
      <c r="G95" s="177" t="s">
        <v>35</v>
      </c>
      <c r="H95" s="187" t="s">
        <v>35</v>
      </c>
      <c r="I95" s="177"/>
      <c r="J95" s="177"/>
      <c r="K95" s="40"/>
      <c r="L95" s="36"/>
      <c r="M95" s="177" t="s">
        <v>281</v>
      </c>
      <c r="N95" s="177" t="s">
        <v>281</v>
      </c>
      <c r="O95" s="178" t="s">
        <v>41</v>
      </c>
    </row>
    <row r="96" spans="2:15" ht="20.25" thickBot="1" x14ac:dyDescent="0.35">
      <c r="B96" s="161" t="s">
        <v>282</v>
      </c>
      <c r="C96" s="172"/>
      <c r="D96" s="181"/>
      <c r="E96" s="181"/>
      <c r="F96" s="175"/>
      <c r="G96" s="175"/>
      <c r="H96" s="175"/>
      <c r="I96" s="175"/>
      <c r="J96" s="38"/>
      <c r="K96" s="38"/>
      <c r="L96" s="38"/>
      <c r="M96" s="38"/>
      <c r="N96" s="40"/>
      <c r="O96" s="40"/>
    </row>
    <row r="97" spans="2:15" ht="15.75" thickTop="1" x14ac:dyDescent="0.25">
      <c r="B97" s="179" t="s">
        <v>88</v>
      </c>
      <c r="C97" s="180">
        <v>13815000</v>
      </c>
      <c r="D97" s="182"/>
      <c r="E97" s="189"/>
      <c r="F97" s="181"/>
      <c r="G97" s="181"/>
      <c r="H97" s="181">
        <f>ROUND((+E97+D97+C97)/1000,0)</f>
        <v>13815</v>
      </c>
      <c r="I97" s="181"/>
      <c r="J97" s="183"/>
      <c r="K97" s="183"/>
      <c r="L97" s="183"/>
      <c r="M97" s="183"/>
      <c r="N97" s="39">
        <v>117</v>
      </c>
      <c r="O97" s="38">
        <f>+N97+H97</f>
        <v>13932</v>
      </c>
    </row>
    <row r="98" spans="2:15" x14ac:dyDescent="0.25">
      <c r="B98" s="171" t="s">
        <v>42</v>
      </c>
      <c r="C98" s="38">
        <v>199822</v>
      </c>
      <c r="D98" s="184">
        <v>23400</v>
      </c>
      <c r="E98" s="190">
        <v>139888.80000000002</v>
      </c>
      <c r="F98" s="182"/>
      <c r="G98" s="182"/>
      <c r="H98" s="181">
        <f>ROUND((+E98+D98+C98)/1000,0)</f>
        <v>363</v>
      </c>
      <c r="I98" s="182"/>
      <c r="J98" s="186"/>
      <c r="K98" s="186"/>
      <c r="L98" s="186"/>
      <c r="M98" s="186" t="e">
        <f>+#REF!</f>
        <v>#REF!</v>
      </c>
      <c r="N98" s="39">
        <v>19</v>
      </c>
      <c r="O98" s="38">
        <f>ROUND(+N98+H98,0)</f>
        <v>382</v>
      </c>
    </row>
    <row r="99" spans="2:15" x14ac:dyDescent="0.25">
      <c r="B99" s="165" t="s">
        <v>93</v>
      </c>
      <c r="C99" s="38">
        <v>4566266</v>
      </c>
      <c r="D99" s="175"/>
      <c r="E99" s="190"/>
      <c r="F99" s="175"/>
      <c r="G99" s="175"/>
      <c r="H99" s="181">
        <f>ROUND((+E99+D99+C99)/1000,0)</f>
        <v>4566</v>
      </c>
      <c r="I99" s="175"/>
      <c r="J99" s="38"/>
      <c r="K99" s="38"/>
      <c r="L99" s="38"/>
      <c r="M99" s="38"/>
      <c r="N99" s="39">
        <v>57</v>
      </c>
      <c r="O99" s="38">
        <f>ROUND(+N99+H99,0)</f>
        <v>4623</v>
      </c>
    </row>
    <row r="100" spans="2:15" x14ac:dyDescent="0.25">
      <c r="C100" s="38"/>
      <c r="D100" s="175"/>
      <c r="E100" s="173"/>
      <c r="F100" s="175"/>
      <c r="G100" s="175"/>
      <c r="H100" s="175"/>
      <c r="I100" s="175"/>
      <c r="J100" s="38"/>
      <c r="K100" s="38"/>
      <c r="L100" s="38"/>
      <c r="M100" s="38"/>
      <c r="O100" s="38"/>
    </row>
    <row r="101" spans="2:15" ht="20.25" thickBot="1" x14ac:dyDescent="0.35">
      <c r="B101" s="161" t="s">
        <v>284</v>
      </c>
      <c r="C101" s="38"/>
      <c r="D101" s="175"/>
      <c r="E101" s="173"/>
      <c r="F101" s="175"/>
      <c r="G101" s="175"/>
      <c r="H101" s="175"/>
      <c r="I101" s="175"/>
      <c r="J101" s="38"/>
      <c r="K101" s="38"/>
      <c r="L101" s="38"/>
      <c r="M101" s="38"/>
      <c r="O101" s="38"/>
    </row>
    <row r="102" spans="2:15" ht="15.75" thickTop="1" x14ac:dyDescent="0.25">
      <c r="B102" s="165" t="s">
        <v>87</v>
      </c>
      <c r="C102" s="38">
        <v>6527229</v>
      </c>
      <c r="D102" s="175"/>
      <c r="E102" s="173"/>
      <c r="F102" s="175"/>
      <c r="G102" s="175"/>
      <c r="H102" s="181">
        <f>ROUND((+E102+D102+C102)/1000,0)</f>
        <v>6527</v>
      </c>
      <c r="I102" s="175"/>
      <c r="J102" s="38"/>
      <c r="K102" s="38"/>
      <c r="L102" s="38"/>
      <c r="M102" s="38"/>
      <c r="N102" s="39">
        <v>91</v>
      </c>
      <c r="O102" s="38">
        <f>ROUND(N102/1000,0)+H102</f>
        <v>6527</v>
      </c>
    </row>
    <row r="103" spans="2:15" x14ac:dyDescent="0.25">
      <c r="B103" s="164" t="s">
        <v>42</v>
      </c>
      <c r="C103" s="38">
        <v>695734</v>
      </c>
      <c r="D103" s="184">
        <v>93600</v>
      </c>
      <c r="E103" s="173">
        <v>559555.20000000007</v>
      </c>
      <c r="F103" s="175"/>
      <c r="G103" s="175"/>
      <c r="H103" s="181">
        <f>ROUND((+E103+D103+C103)/1000,0)</f>
        <v>1349</v>
      </c>
      <c r="I103" s="175"/>
      <c r="J103" s="38"/>
      <c r="K103" s="38"/>
      <c r="L103" s="38"/>
      <c r="M103" s="38"/>
      <c r="N103" s="39">
        <v>74</v>
      </c>
      <c r="O103" s="38">
        <f>ROUND(+N103+H103,0)</f>
        <v>1423</v>
      </c>
    </row>
    <row r="104" spans="2:15" x14ac:dyDescent="0.25">
      <c r="B104" s="164" t="s">
        <v>94</v>
      </c>
      <c r="C104" s="38">
        <v>158000</v>
      </c>
      <c r="D104" s="175"/>
      <c r="E104" s="190"/>
      <c r="F104" s="175"/>
      <c r="G104" s="175"/>
      <c r="H104" s="181">
        <f>ROUND((+E104+D104+C104)/1000,0)</f>
        <v>158</v>
      </c>
      <c r="I104" s="175"/>
      <c r="J104" s="38"/>
      <c r="K104" s="38"/>
      <c r="L104" s="38"/>
      <c r="M104" s="38"/>
      <c r="N104" s="39">
        <v>17</v>
      </c>
      <c r="O104" s="38">
        <f>ROUND(N104/1000,0)+H104</f>
        <v>158</v>
      </c>
    </row>
    <row r="105" spans="2:15" x14ac:dyDescent="0.25">
      <c r="C105" s="38"/>
      <c r="D105" s="175"/>
      <c r="E105" s="173"/>
      <c r="F105" s="175"/>
      <c r="G105" s="175"/>
      <c r="H105" s="175"/>
      <c r="I105" s="175"/>
      <c r="J105" s="38"/>
      <c r="K105" s="38"/>
      <c r="L105" s="38"/>
      <c r="M105" s="38"/>
      <c r="O105" s="38"/>
    </row>
    <row r="106" spans="2:15" ht="20.25" thickBot="1" x14ac:dyDescent="0.35">
      <c r="B106" s="161" t="s">
        <v>90</v>
      </c>
      <c r="C106" s="38"/>
      <c r="D106" s="175"/>
      <c r="E106" s="190"/>
      <c r="F106" s="175"/>
      <c r="G106" s="175"/>
      <c r="H106" s="175"/>
      <c r="I106" s="175"/>
      <c r="J106" s="38"/>
      <c r="K106" s="38"/>
      <c r="L106" s="38"/>
      <c r="M106" s="38"/>
      <c r="O106" s="38"/>
    </row>
    <row r="107" spans="2:15" ht="15.75" thickTop="1" x14ac:dyDescent="0.25">
      <c r="C107" s="38">
        <v>568680</v>
      </c>
      <c r="D107" s="175">
        <v>145320</v>
      </c>
      <c r="E107" s="173"/>
      <c r="F107" s="175"/>
      <c r="G107" s="175"/>
      <c r="H107" s="181">
        <f>ROUND((+E107+D107+C107)/1000,0)</f>
        <v>714</v>
      </c>
      <c r="I107" s="175"/>
      <c r="J107" s="38"/>
      <c r="K107" s="38"/>
      <c r="L107" s="38"/>
      <c r="M107" s="38"/>
      <c r="N107" s="39">
        <v>81</v>
      </c>
      <c r="O107" s="38">
        <f>ROUND(N107/1000,0)+H107</f>
        <v>714</v>
      </c>
    </row>
    <row r="108" spans="2:15" x14ac:dyDescent="0.25">
      <c r="C108" s="38"/>
      <c r="D108" s="175"/>
      <c r="E108" s="173"/>
      <c r="F108" s="175"/>
      <c r="G108" s="175"/>
      <c r="H108" s="175"/>
      <c r="I108" s="175"/>
      <c r="J108" s="38"/>
      <c r="K108" s="38"/>
      <c r="L108" s="38"/>
      <c r="M108" s="38"/>
      <c r="O108" s="38"/>
    </row>
    <row r="109" spans="2:15" ht="20.25" thickBot="1" x14ac:dyDescent="0.35">
      <c r="B109" s="161" t="s">
        <v>91</v>
      </c>
      <c r="C109" s="38"/>
      <c r="D109" s="175"/>
      <c r="E109" s="190"/>
      <c r="F109" s="175"/>
      <c r="G109" s="175"/>
      <c r="H109" s="181"/>
      <c r="I109" s="175"/>
      <c r="J109" s="38"/>
      <c r="K109" s="38"/>
      <c r="L109" s="38"/>
      <c r="M109" s="38"/>
      <c r="N109" s="39"/>
      <c r="O109" s="38"/>
    </row>
    <row r="110" spans="2:15" ht="15.75" thickTop="1" x14ac:dyDescent="0.25">
      <c r="C110" s="38">
        <v>204525</v>
      </c>
      <c r="D110" s="175">
        <v>145475</v>
      </c>
      <c r="E110" s="173"/>
      <c r="F110" s="175"/>
      <c r="G110" s="175"/>
      <c r="H110" s="181">
        <f>ROUND((+E110+D110+C110)/1000,0)</f>
        <v>350</v>
      </c>
      <c r="I110" s="175"/>
      <c r="J110" s="38"/>
      <c r="K110" s="38"/>
      <c r="L110" s="38"/>
      <c r="M110" s="38"/>
      <c r="N110">
        <v>78</v>
      </c>
      <c r="O110" s="38">
        <f>+N110+H110</f>
        <v>428</v>
      </c>
    </row>
    <row r="111" spans="2:15" ht="20.25" thickBot="1" x14ac:dyDescent="0.35">
      <c r="B111" s="161" t="s">
        <v>287</v>
      </c>
      <c r="C111" s="38"/>
      <c r="D111" s="175"/>
      <c r="E111" s="173"/>
      <c r="F111" s="175"/>
      <c r="G111" s="175"/>
      <c r="H111" s="181"/>
      <c r="I111" s="175"/>
      <c r="J111" s="38"/>
      <c r="K111" s="38"/>
      <c r="L111" s="38"/>
      <c r="M111" s="38"/>
      <c r="O111" s="38"/>
    </row>
    <row r="112" spans="2:15" ht="15.75" thickTop="1" x14ac:dyDescent="0.25">
      <c r="C112" s="38"/>
      <c r="D112" s="175"/>
      <c r="E112" s="175"/>
      <c r="F112" s="175"/>
      <c r="G112" s="175"/>
      <c r="H112" s="175"/>
      <c r="I112" s="175"/>
      <c r="J112" s="38"/>
      <c r="K112" s="38"/>
      <c r="L112" s="38"/>
      <c r="M112" s="38"/>
      <c r="O112" s="38"/>
    </row>
    <row r="113" spans="2:15" x14ac:dyDescent="0.25">
      <c r="B113" s="188" t="s">
        <v>13</v>
      </c>
      <c r="C113" s="38">
        <f>SUM(C97:C111)</f>
        <v>26735256</v>
      </c>
      <c r="D113" s="38">
        <f>SUM(D97:D111)</f>
        <v>407795</v>
      </c>
      <c r="E113" s="40">
        <f>SUM(E97:E111)</f>
        <v>699444.00000000012</v>
      </c>
      <c r="F113" s="175"/>
      <c r="G113" s="175"/>
      <c r="H113" s="38">
        <f>SUM(H97:H111)</f>
        <v>27842</v>
      </c>
      <c r="I113" s="175"/>
      <c r="J113" s="38"/>
      <c r="K113" s="38"/>
      <c r="L113" s="38"/>
      <c r="M113" s="38"/>
      <c r="N113" s="38">
        <f>SUM(N97:N111)</f>
        <v>534</v>
      </c>
      <c r="O113" s="40">
        <f>SUM(O97:O111)</f>
        <v>28187</v>
      </c>
    </row>
    <row r="114" spans="2:15" x14ac:dyDescent="0.25">
      <c r="C114" s="38"/>
      <c r="D114" s="185"/>
      <c r="E114" s="175"/>
      <c r="F114" s="175"/>
      <c r="G114" s="175"/>
      <c r="H114" s="175"/>
      <c r="I114" s="175"/>
      <c r="J114" s="38"/>
      <c r="K114" s="38"/>
      <c r="L114" s="38"/>
      <c r="M114" s="38"/>
      <c r="O114" s="38"/>
    </row>
    <row r="115" spans="2:15" x14ac:dyDescent="0.25">
      <c r="B115" s="188" t="s">
        <v>92</v>
      </c>
      <c r="C115" s="38">
        <v>3695000</v>
      </c>
      <c r="D115" s="175"/>
      <c r="E115" s="175"/>
      <c r="F115" s="175"/>
      <c r="G115" s="175"/>
      <c r="H115" s="181">
        <f>ROUND((+E115+D115+C115)/1000,0)</f>
        <v>3695</v>
      </c>
      <c r="I115" s="175"/>
      <c r="J115" s="38"/>
      <c r="K115" s="38"/>
      <c r="L115" s="38"/>
      <c r="M115" s="38"/>
      <c r="N115" s="39">
        <f>1350-N113</f>
        <v>816</v>
      </c>
      <c r="O115" s="38">
        <f>+N115+H115</f>
        <v>4511</v>
      </c>
    </row>
    <row r="116" spans="2:15" x14ac:dyDescent="0.25">
      <c r="C116" s="38"/>
      <c r="D116" s="175"/>
      <c r="E116" s="175"/>
      <c r="F116" s="175"/>
      <c r="G116" s="175"/>
      <c r="H116" s="175"/>
      <c r="I116" s="175"/>
      <c r="J116" s="38"/>
      <c r="K116" s="38"/>
      <c r="L116" s="38"/>
      <c r="M116" s="38"/>
      <c r="O116" s="38"/>
    </row>
    <row r="117" spans="2:15" x14ac:dyDescent="0.25">
      <c r="C117" s="38"/>
      <c r="D117" s="185"/>
      <c r="E117" s="175"/>
      <c r="F117" s="175"/>
      <c r="G117" s="175"/>
      <c r="H117" s="175"/>
      <c r="I117" s="175"/>
      <c r="J117" s="38"/>
      <c r="K117" s="38"/>
      <c r="L117" s="38"/>
      <c r="M117" s="38"/>
      <c r="O117" s="38"/>
    </row>
    <row r="118" spans="2:15" x14ac:dyDescent="0.25">
      <c r="B118" s="188" t="s">
        <v>288</v>
      </c>
      <c r="C118" s="38">
        <f>+C115+C113</f>
        <v>30430256</v>
      </c>
      <c r="D118" s="38">
        <f>+D115+D113</f>
        <v>407795</v>
      </c>
      <c r="E118" s="38">
        <f>+E115+E113</f>
        <v>699444.00000000012</v>
      </c>
      <c r="F118" s="175"/>
      <c r="G118" s="175"/>
      <c r="H118" s="38">
        <f>+H115+H113</f>
        <v>31537</v>
      </c>
      <c r="I118" s="175"/>
      <c r="J118" s="38"/>
      <c r="K118" s="38"/>
      <c r="L118" s="38"/>
      <c r="M118" s="38"/>
      <c r="N118" s="38">
        <f>+N115+N113</f>
        <v>1350</v>
      </c>
      <c r="O118" s="38">
        <f>+N118+H118</f>
        <v>32887</v>
      </c>
    </row>
    <row r="119" spans="2:15" x14ac:dyDescent="0.25">
      <c r="H119" s="39"/>
    </row>
    <row r="121" spans="2:15" x14ac:dyDescent="0.25">
      <c r="H121" s="39"/>
    </row>
    <row r="122" spans="2:15" x14ac:dyDescent="0.25">
      <c r="O122" s="39"/>
    </row>
    <row r="124" spans="2:15" x14ac:dyDescent="0.25">
      <c r="H124" s="38"/>
    </row>
    <row r="125" spans="2:15" x14ac:dyDescent="0.25">
      <c r="H125" s="39"/>
    </row>
    <row r="126" spans="2:15" x14ac:dyDescent="0.25">
      <c r="H126" s="39"/>
    </row>
  </sheetData>
  <mergeCells count="8">
    <mergeCell ref="N4:O5"/>
    <mergeCell ref="D4:D5"/>
    <mergeCell ref="E4:E5"/>
    <mergeCell ref="B4:B5"/>
    <mergeCell ref="F4:G5"/>
    <mergeCell ref="H4:I5"/>
    <mergeCell ref="J4:K5"/>
    <mergeCell ref="L4:M5"/>
  </mergeCells>
  <pageMargins left="0.7" right="0.7" top="0.75" bottom="0.75" header="0.3" footer="0.3"/>
  <pageSetup orientation="portrait" r:id="rId1"/>
  <ignoredErrors>
    <ignoredError sqref="I22 I27 I30 I13 E30 E18 D10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3:AB40"/>
  <sheetViews>
    <sheetView showGridLines="0" topLeftCell="B3" zoomScale="90" zoomScaleNormal="90" workbookViewId="0">
      <pane xSplit="1" ySplit="3" topLeftCell="C7" activePane="bottomRight" state="frozen"/>
      <selection activeCell="B3" sqref="B3"/>
      <selection pane="topRight" activeCell="C3" sqref="C3"/>
      <selection pane="bottomLeft" activeCell="B6" sqref="B6"/>
      <selection pane="bottomRight" activeCell="N25" sqref="N25"/>
    </sheetView>
  </sheetViews>
  <sheetFormatPr baseColWidth="10" defaultRowHeight="15" x14ac:dyDescent="0.25"/>
  <cols>
    <col min="2" max="2" width="44.140625" bestFit="1" customWidth="1"/>
    <col min="3" max="3" width="13.85546875" customWidth="1"/>
    <col min="4" max="4" width="12.85546875" customWidth="1"/>
    <col min="5" max="5" width="7.85546875" customWidth="1"/>
    <col min="6" max="6" width="10" customWidth="1"/>
    <col min="7" max="7" width="9.7109375" customWidth="1"/>
    <col min="8" max="8" width="13.7109375" customWidth="1"/>
    <col min="9" max="9" width="8.140625" bestFit="1" customWidth="1"/>
    <col min="10" max="10" width="10.28515625" style="40" hidden="1" customWidth="1"/>
    <col min="11" max="11" width="8.7109375" style="36" hidden="1" customWidth="1"/>
    <col min="12" max="12" width="9.7109375" style="20" hidden="1" customWidth="1"/>
    <col min="13" max="13" width="7.5703125" style="36" hidden="1" customWidth="1"/>
    <col min="14" max="14" width="10.28515625" style="36" customWidth="1"/>
    <col min="15" max="15" width="7.5703125" customWidth="1"/>
    <col min="16" max="16" width="13.5703125" bestFit="1" customWidth="1"/>
    <col min="18" max="18" width="0" hidden="1" customWidth="1"/>
    <col min="19" max="19" width="13.7109375" hidden="1" customWidth="1"/>
    <col min="20" max="22" width="0" hidden="1" customWidth="1"/>
    <col min="23" max="23" width="13.7109375" bestFit="1" customWidth="1"/>
    <col min="26" max="26" width="14.85546875" customWidth="1"/>
    <col min="27" max="27" width="16" customWidth="1"/>
    <col min="263" max="263" width="37.42578125" bestFit="1" customWidth="1"/>
    <col min="264" max="264" width="13.85546875" bestFit="1" customWidth="1"/>
    <col min="265" max="265" width="13.42578125" customWidth="1"/>
    <col min="266" max="266" width="7.85546875" bestFit="1" customWidth="1"/>
    <col min="267" max="267" width="13.28515625" customWidth="1"/>
    <col min="268" max="268" width="7.7109375" bestFit="1" customWidth="1"/>
    <col min="269" max="269" width="14.7109375" customWidth="1"/>
    <col min="270" max="270" width="7.85546875" bestFit="1" customWidth="1"/>
    <col min="519" max="519" width="37.42578125" bestFit="1" customWidth="1"/>
    <col min="520" max="520" width="13.85546875" bestFit="1" customWidth="1"/>
    <col min="521" max="521" width="13.42578125" customWidth="1"/>
    <col min="522" max="522" width="7.85546875" bestFit="1" customWidth="1"/>
    <col min="523" max="523" width="13.28515625" customWidth="1"/>
    <col min="524" max="524" width="7.7109375" bestFit="1" customWidth="1"/>
    <col min="525" max="525" width="14.7109375" customWidth="1"/>
    <col min="526" max="526" width="7.85546875" bestFit="1" customWidth="1"/>
    <col min="775" max="775" width="37.42578125" bestFit="1" customWidth="1"/>
    <col min="776" max="776" width="13.85546875" bestFit="1" customWidth="1"/>
    <col min="777" max="777" width="13.42578125" customWidth="1"/>
    <col min="778" max="778" width="7.85546875" bestFit="1" customWidth="1"/>
    <col min="779" max="779" width="13.28515625" customWidth="1"/>
    <col min="780" max="780" width="7.7109375" bestFit="1" customWidth="1"/>
    <col min="781" max="781" width="14.7109375" customWidth="1"/>
    <col min="782" max="782" width="7.85546875" bestFit="1" customWidth="1"/>
    <col min="1031" max="1031" width="37.42578125" bestFit="1" customWidth="1"/>
    <col min="1032" max="1032" width="13.85546875" bestFit="1" customWidth="1"/>
    <col min="1033" max="1033" width="13.42578125" customWidth="1"/>
    <col min="1034" max="1034" width="7.85546875" bestFit="1" customWidth="1"/>
    <col min="1035" max="1035" width="13.28515625" customWidth="1"/>
    <col min="1036" max="1036" width="7.7109375" bestFit="1" customWidth="1"/>
    <col min="1037" max="1037" width="14.7109375" customWidth="1"/>
    <col min="1038" max="1038" width="7.85546875" bestFit="1" customWidth="1"/>
    <col min="1287" max="1287" width="37.42578125" bestFit="1" customWidth="1"/>
    <col min="1288" max="1288" width="13.85546875" bestFit="1" customWidth="1"/>
    <col min="1289" max="1289" width="13.42578125" customWidth="1"/>
    <col min="1290" max="1290" width="7.85546875" bestFit="1" customWidth="1"/>
    <col min="1291" max="1291" width="13.28515625" customWidth="1"/>
    <col min="1292" max="1292" width="7.7109375" bestFit="1" customWidth="1"/>
    <col min="1293" max="1293" width="14.7109375" customWidth="1"/>
    <col min="1294" max="1294" width="7.85546875" bestFit="1" customWidth="1"/>
    <col min="1543" max="1543" width="37.42578125" bestFit="1" customWidth="1"/>
    <col min="1544" max="1544" width="13.85546875" bestFit="1" customWidth="1"/>
    <col min="1545" max="1545" width="13.42578125" customWidth="1"/>
    <col min="1546" max="1546" width="7.85546875" bestFit="1" customWidth="1"/>
    <col min="1547" max="1547" width="13.28515625" customWidth="1"/>
    <col min="1548" max="1548" width="7.7109375" bestFit="1" customWidth="1"/>
    <col min="1549" max="1549" width="14.7109375" customWidth="1"/>
    <col min="1550" max="1550" width="7.85546875" bestFit="1" customWidth="1"/>
    <col min="1799" max="1799" width="37.42578125" bestFit="1" customWidth="1"/>
    <col min="1800" max="1800" width="13.85546875" bestFit="1" customWidth="1"/>
    <col min="1801" max="1801" width="13.42578125" customWidth="1"/>
    <col min="1802" max="1802" width="7.85546875" bestFit="1" customWidth="1"/>
    <col min="1803" max="1803" width="13.28515625" customWidth="1"/>
    <col min="1804" max="1804" width="7.7109375" bestFit="1" customWidth="1"/>
    <col min="1805" max="1805" width="14.7109375" customWidth="1"/>
    <col min="1806" max="1806" width="7.85546875" bestFit="1" customWidth="1"/>
    <col min="2055" max="2055" width="37.42578125" bestFit="1" customWidth="1"/>
    <col min="2056" max="2056" width="13.85546875" bestFit="1" customWidth="1"/>
    <col min="2057" max="2057" width="13.42578125" customWidth="1"/>
    <col min="2058" max="2058" width="7.85546875" bestFit="1" customWidth="1"/>
    <col min="2059" max="2059" width="13.28515625" customWidth="1"/>
    <col min="2060" max="2060" width="7.7109375" bestFit="1" customWidth="1"/>
    <col min="2061" max="2061" width="14.7109375" customWidth="1"/>
    <col min="2062" max="2062" width="7.85546875" bestFit="1" customWidth="1"/>
    <col min="2311" max="2311" width="37.42578125" bestFit="1" customWidth="1"/>
    <col min="2312" max="2312" width="13.85546875" bestFit="1" customWidth="1"/>
    <col min="2313" max="2313" width="13.42578125" customWidth="1"/>
    <col min="2314" max="2314" width="7.85546875" bestFit="1" customWidth="1"/>
    <col min="2315" max="2315" width="13.28515625" customWidth="1"/>
    <col min="2316" max="2316" width="7.7109375" bestFit="1" customWidth="1"/>
    <col min="2317" max="2317" width="14.7109375" customWidth="1"/>
    <col min="2318" max="2318" width="7.85546875" bestFit="1" customWidth="1"/>
    <col min="2567" max="2567" width="37.42578125" bestFit="1" customWidth="1"/>
    <col min="2568" max="2568" width="13.85546875" bestFit="1" customWidth="1"/>
    <col min="2569" max="2569" width="13.42578125" customWidth="1"/>
    <col min="2570" max="2570" width="7.85546875" bestFit="1" customWidth="1"/>
    <col min="2571" max="2571" width="13.28515625" customWidth="1"/>
    <col min="2572" max="2572" width="7.7109375" bestFit="1" customWidth="1"/>
    <col min="2573" max="2573" width="14.7109375" customWidth="1"/>
    <col min="2574" max="2574" width="7.85546875" bestFit="1" customWidth="1"/>
    <col min="2823" max="2823" width="37.42578125" bestFit="1" customWidth="1"/>
    <col min="2824" max="2824" width="13.85546875" bestFit="1" customWidth="1"/>
    <col min="2825" max="2825" width="13.42578125" customWidth="1"/>
    <col min="2826" max="2826" width="7.85546875" bestFit="1" customWidth="1"/>
    <col min="2827" max="2827" width="13.28515625" customWidth="1"/>
    <col min="2828" max="2828" width="7.7109375" bestFit="1" customWidth="1"/>
    <col min="2829" max="2829" width="14.7109375" customWidth="1"/>
    <col min="2830" max="2830" width="7.85546875" bestFit="1" customWidth="1"/>
    <col min="3079" max="3079" width="37.42578125" bestFit="1" customWidth="1"/>
    <col min="3080" max="3080" width="13.85546875" bestFit="1" customWidth="1"/>
    <col min="3081" max="3081" width="13.42578125" customWidth="1"/>
    <col min="3082" max="3082" width="7.85546875" bestFit="1" customWidth="1"/>
    <col min="3083" max="3083" width="13.28515625" customWidth="1"/>
    <col min="3084" max="3084" width="7.7109375" bestFit="1" customWidth="1"/>
    <col min="3085" max="3085" width="14.7109375" customWidth="1"/>
    <col min="3086" max="3086" width="7.85546875" bestFit="1" customWidth="1"/>
    <col min="3335" max="3335" width="37.42578125" bestFit="1" customWidth="1"/>
    <col min="3336" max="3336" width="13.85546875" bestFit="1" customWidth="1"/>
    <col min="3337" max="3337" width="13.42578125" customWidth="1"/>
    <col min="3338" max="3338" width="7.85546875" bestFit="1" customWidth="1"/>
    <col min="3339" max="3339" width="13.28515625" customWidth="1"/>
    <col min="3340" max="3340" width="7.7109375" bestFit="1" customWidth="1"/>
    <col min="3341" max="3341" width="14.7109375" customWidth="1"/>
    <col min="3342" max="3342" width="7.85546875" bestFit="1" customWidth="1"/>
    <col min="3591" max="3591" width="37.42578125" bestFit="1" customWidth="1"/>
    <col min="3592" max="3592" width="13.85546875" bestFit="1" customWidth="1"/>
    <col min="3593" max="3593" width="13.42578125" customWidth="1"/>
    <col min="3594" max="3594" width="7.85546875" bestFit="1" customWidth="1"/>
    <col min="3595" max="3595" width="13.28515625" customWidth="1"/>
    <col min="3596" max="3596" width="7.7109375" bestFit="1" customWidth="1"/>
    <col min="3597" max="3597" width="14.7109375" customWidth="1"/>
    <col min="3598" max="3598" width="7.85546875" bestFit="1" customWidth="1"/>
    <col min="3847" max="3847" width="37.42578125" bestFit="1" customWidth="1"/>
    <col min="3848" max="3848" width="13.85546875" bestFit="1" customWidth="1"/>
    <col min="3849" max="3849" width="13.42578125" customWidth="1"/>
    <col min="3850" max="3850" width="7.85546875" bestFit="1" customWidth="1"/>
    <col min="3851" max="3851" width="13.28515625" customWidth="1"/>
    <col min="3852" max="3852" width="7.7109375" bestFit="1" customWidth="1"/>
    <col min="3853" max="3853" width="14.7109375" customWidth="1"/>
    <col min="3854" max="3854" width="7.85546875" bestFit="1" customWidth="1"/>
    <col min="4103" max="4103" width="37.42578125" bestFit="1" customWidth="1"/>
    <col min="4104" max="4104" width="13.85546875" bestFit="1" customWidth="1"/>
    <col min="4105" max="4105" width="13.42578125" customWidth="1"/>
    <col min="4106" max="4106" width="7.85546875" bestFit="1" customWidth="1"/>
    <col min="4107" max="4107" width="13.28515625" customWidth="1"/>
    <col min="4108" max="4108" width="7.7109375" bestFit="1" customWidth="1"/>
    <col min="4109" max="4109" width="14.7109375" customWidth="1"/>
    <col min="4110" max="4110" width="7.85546875" bestFit="1" customWidth="1"/>
    <col min="4359" max="4359" width="37.42578125" bestFit="1" customWidth="1"/>
    <col min="4360" max="4360" width="13.85546875" bestFit="1" customWidth="1"/>
    <col min="4361" max="4361" width="13.42578125" customWidth="1"/>
    <col min="4362" max="4362" width="7.85546875" bestFit="1" customWidth="1"/>
    <col min="4363" max="4363" width="13.28515625" customWidth="1"/>
    <col min="4364" max="4364" width="7.7109375" bestFit="1" customWidth="1"/>
    <col min="4365" max="4365" width="14.7109375" customWidth="1"/>
    <col min="4366" max="4366" width="7.85546875" bestFit="1" customWidth="1"/>
    <col min="4615" max="4615" width="37.42578125" bestFit="1" customWidth="1"/>
    <col min="4616" max="4616" width="13.85546875" bestFit="1" customWidth="1"/>
    <col min="4617" max="4617" width="13.42578125" customWidth="1"/>
    <col min="4618" max="4618" width="7.85546875" bestFit="1" customWidth="1"/>
    <col min="4619" max="4619" width="13.28515625" customWidth="1"/>
    <col min="4620" max="4620" width="7.7109375" bestFit="1" customWidth="1"/>
    <col min="4621" max="4621" width="14.7109375" customWidth="1"/>
    <col min="4622" max="4622" width="7.85546875" bestFit="1" customWidth="1"/>
    <col min="4871" max="4871" width="37.42578125" bestFit="1" customWidth="1"/>
    <col min="4872" max="4872" width="13.85546875" bestFit="1" customWidth="1"/>
    <col min="4873" max="4873" width="13.42578125" customWidth="1"/>
    <col min="4874" max="4874" width="7.85546875" bestFit="1" customWidth="1"/>
    <col min="4875" max="4875" width="13.28515625" customWidth="1"/>
    <col min="4876" max="4876" width="7.7109375" bestFit="1" customWidth="1"/>
    <col min="4877" max="4877" width="14.7109375" customWidth="1"/>
    <col min="4878" max="4878" width="7.85546875" bestFit="1" customWidth="1"/>
    <col min="5127" max="5127" width="37.42578125" bestFit="1" customWidth="1"/>
    <col min="5128" max="5128" width="13.85546875" bestFit="1" customWidth="1"/>
    <col min="5129" max="5129" width="13.42578125" customWidth="1"/>
    <col min="5130" max="5130" width="7.85546875" bestFit="1" customWidth="1"/>
    <col min="5131" max="5131" width="13.28515625" customWidth="1"/>
    <col min="5132" max="5132" width="7.7109375" bestFit="1" customWidth="1"/>
    <col min="5133" max="5133" width="14.7109375" customWidth="1"/>
    <col min="5134" max="5134" width="7.85546875" bestFit="1" customWidth="1"/>
    <col min="5383" max="5383" width="37.42578125" bestFit="1" customWidth="1"/>
    <col min="5384" max="5384" width="13.85546875" bestFit="1" customWidth="1"/>
    <col min="5385" max="5385" width="13.42578125" customWidth="1"/>
    <col min="5386" max="5386" width="7.85546875" bestFit="1" customWidth="1"/>
    <col min="5387" max="5387" width="13.28515625" customWidth="1"/>
    <col min="5388" max="5388" width="7.7109375" bestFit="1" customWidth="1"/>
    <col min="5389" max="5389" width="14.7109375" customWidth="1"/>
    <col min="5390" max="5390" width="7.85546875" bestFit="1" customWidth="1"/>
    <col min="5639" max="5639" width="37.42578125" bestFit="1" customWidth="1"/>
    <col min="5640" max="5640" width="13.85546875" bestFit="1" customWidth="1"/>
    <col min="5641" max="5641" width="13.42578125" customWidth="1"/>
    <col min="5642" max="5642" width="7.85546875" bestFit="1" customWidth="1"/>
    <col min="5643" max="5643" width="13.28515625" customWidth="1"/>
    <col min="5644" max="5644" width="7.7109375" bestFit="1" customWidth="1"/>
    <col min="5645" max="5645" width="14.7109375" customWidth="1"/>
    <col min="5646" max="5646" width="7.85546875" bestFit="1" customWidth="1"/>
    <col min="5895" max="5895" width="37.42578125" bestFit="1" customWidth="1"/>
    <col min="5896" max="5896" width="13.85546875" bestFit="1" customWidth="1"/>
    <col min="5897" max="5897" width="13.42578125" customWidth="1"/>
    <col min="5898" max="5898" width="7.85546875" bestFit="1" customWidth="1"/>
    <col min="5899" max="5899" width="13.28515625" customWidth="1"/>
    <col min="5900" max="5900" width="7.7109375" bestFit="1" customWidth="1"/>
    <col min="5901" max="5901" width="14.7109375" customWidth="1"/>
    <col min="5902" max="5902" width="7.85546875" bestFit="1" customWidth="1"/>
    <col min="6151" max="6151" width="37.42578125" bestFit="1" customWidth="1"/>
    <col min="6152" max="6152" width="13.85546875" bestFit="1" customWidth="1"/>
    <col min="6153" max="6153" width="13.42578125" customWidth="1"/>
    <col min="6154" max="6154" width="7.85546875" bestFit="1" customWidth="1"/>
    <col min="6155" max="6155" width="13.28515625" customWidth="1"/>
    <col min="6156" max="6156" width="7.7109375" bestFit="1" customWidth="1"/>
    <col min="6157" max="6157" width="14.7109375" customWidth="1"/>
    <col min="6158" max="6158" width="7.85546875" bestFit="1" customWidth="1"/>
    <col min="6407" max="6407" width="37.42578125" bestFit="1" customWidth="1"/>
    <col min="6408" max="6408" width="13.85546875" bestFit="1" customWidth="1"/>
    <col min="6409" max="6409" width="13.42578125" customWidth="1"/>
    <col min="6410" max="6410" width="7.85546875" bestFit="1" customWidth="1"/>
    <col min="6411" max="6411" width="13.28515625" customWidth="1"/>
    <col min="6412" max="6412" width="7.7109375" bestFit="1" customWidth="1"/>
    <col min="6413" max="6413" width="14.7109375" customWidth="1"/>
    <col min="6414" max="6414" width="7.85546875" bestFit="1" customWidth="1"/>
    <col min="6663" max="6663" width="37.42578125" bestFit="1" customWidth="1"/>
    <col min="6664" max="6664" width="13.85546875" bestFit="1" customWidth="1"/>
    <col min="6665" max="6665" width="13.42578125" customWidth="1"/>
    <col min="6666" max="6666" width="7.85546875" bestFit="1" customWidth="1"/>
    <col min="6667" max="6667" width="13.28515625" customWidth="1"/>
    <col min="6668" max="6668" width="7.7109375" bestFit="1" customWidth="1"/>
    <col min="6669" max="6669" width="14.7109375" customWidth="1"/>
    <col min="6670" max="6670" width="7.85546875" bestFit="1" customWidth="1"/>
    <col min="6919" max="6919" width="37.42578125" bestFit="1" customWidth="1"/>
    <col min="6920" max="6920" width="13.85546875" bestFit="1" customWidth="1"/>
    <col min="6921" max="6921" width="13.42578125" customWidth="1"/>
    <col min="6922" max="6922" width="7.85546875" bestFit="1" customWidth="1"/>
    <col min="6923" max="6923" width="13.28515625" customWidth="1"/>
    <col min="6924" max="6924" width="7.7109375" bestFit="1" customWidth="1"/>
    <col min="6925" max="6925" width="14.7109375" customWidth="1"/>
    <col min="6926" max="6926" width="7.85546875" bestFit="1" customWidth="1"/>
    <col min="7175" max="7175" width="37.42578125" bestFit="1" customWidth="1"/>
    <col min="7176" max="7176" width="13.85546875" bestFit="1" customWidth="1"/>
    <col min="7177" max="7177" width="13.42578125" customWidth="1"/>
    <col min="7178" max="7178" width="7.85546875" bestFit="1" customWidth="1"/>
    <col min="7179" max="7179" width="13.28515625" customWidth="1"/>
    <col min="7180" max="7180" width="7.7109375" bestFit="1" customWidth="1"/>
    <col min="7181" max="7181" width="14.7109375" customWidth="1"/>
    <col min="7182" max="7182" width="7.85546875" bestFit="1" customWidth="1"/>
    <col min="7431" max="7431" width="37.42578125" bestFit="1" customWidth="1"/>
    <col min="7432" max="7432" width="13.85546875" bestFit="1" customWidth="1"/>
    <col min="7433" max="7433" width="13.42578125" customWidth="1"/>
    <col min="7434" max="7434" width="7.85546875" bestFit="1" customWidth="1"/>
    <col min="7435" max="7435" width="13.28515625" customWidth="1"/>
    <col min="7436" max="7436" width="7.7109375" bestFit="1" customWidth="1"/>
    <col min="7437" max="7437" width="14.7109375" customWidth="1"/>
    <col min="7438" max="7438" width="7.85546875" bestFit="1" customWidth="1"/>
    <col min="7687" max="7687" width="37.42578125" bestFit="1" customWidth="1"/>
    <col min="7688" max="7688" width="13.85546875" bestFit="1" customWidth="1"/>
    <col min="7689" max="7689" width="13.42578125" customWidth="1"/>
    <col min="7690" max="7690" width="7.85546875" bestFit="1" customWidth="1"/>
    <col min="7691" max="7691" width="13.28515625" customWidth="1"/>
    <col min="7692" max="7692" width="7.7109375" bestFit="1" customWidth="1"/>
    <col min="7693" max="7693" width="14.7109375" customWidth="1"/>
    <col min="7694" max="7694" width="7.85546875" bestFit="1" customWidth="1"/>
    <col min="7943" max="7943" width="37.42578125" bestFit="1" customWidth="1"/>
    <col min="7944" max="7944" width="13.85546875" bestFit="1" customWidth="1"/>
    <col min="7945" max="7945" width="13.42578125" customWidth="1"/>
    <col min="7946" max="7946" width="7.85546875" bestFit="1" customWidth="1"/>
    <col min="7947" max="7947" width="13.28515625" customWidth="1"/>
    <col min="7948" max="7948" width="7.7109375" bestFit="1" customWidth="1"/>
    <col min="7949" max="7949" width="14.7109375" customWidth="1"/>
    <col min="7950" max="7950" width="7.85546875" bestFit="1" customWidth="1"/>
    <col min="8199" max="8199" width="37.42578125" bestFit="1" customWidth="1"/>
    <col min="8200" max="8200" width="13.85546875" bestFit="1" customWidth="1"/>
    <col min="8201" max="8201" width="13.42578125" customWidth="1"/>
    <col min="8202" max="8202" width="7.85546875" bestFit="1" customWidth="1"/>
    <col min="8203" max="8203" width="13.28515625" customWidth="1"/>
    <col min="8204" max="8204" width="7.7109375" bestFit="1" customWidth="1"/>
    <col min="8205" max="8205" width="14.7109375" customWidth="1"/>
    <col min="8206" max="8206" width="7.85546875" bestFit="1" customWidth="1"/>
    <col min="8455" max="8455" width="37.42578125" bestFit="1" customWidth="1"/>
    <col min="8456" max="8456" width="13.85546875" bestFit="1" customWidth="1"/>
    <col min="8457" max="8457" width="13.42578125" customWidth="1"/>
    <col min="8458" max="8458" width="7.85546875" bestFit="1" customWidth="1"/>
    <col min="8459" max="8459" width="13.28515625" customWidth="1"/>
    <col min="8460" max="8460" width="7.7109375" bestFit="1" customWidth="1"/>
    <col min="8461" max="8461" width="14.7109375" customWidth="1"/>
    <col min="8462" max="8462" width="7.85546875" bestFit="1" customWidth="1"/>
    <col min="8711" max="8711" width="37.42578125" bestFit="1" customWidth="1"/>
    <col min="8712" max="8712" width="13.85546875" bestFit="1" customWidth="1"/>
    <col min="8713" max="8713" width="13.42578125" customWidth="1"/>
    <col min="8714" max="8714" width="7.85546875" bestFit="1" customWidth="1"/>
    <col min="8715" max="8715" width="13.28515625" customWidth="1"/>
    <col min="8716" max="8716" width="7.7109375" bestFit="1" customWidth="1"/>
    <col min="8717" max="8717" width="14.7109375" customWidth="1"/>
    <col min="8718" max="8718" width="7.85546875" bestFit="1" customWidth="1"/>
    <col min="8967" max="8967" width="37.42578125" bestFit="1" customWidth="1"/>
    <col min="8968" max="8968" width="13.85546875" bestFit="1" customWidth="1"/>
    <col min="8969" max="8969" width="13.42578125" customWidth="1"/>
    <col min="8970" max="8970" width="7.85546875" bestFit="1" customWidth="1"/>
    <col min="8971" max="8971" width="13.28515625" customWidth="1"/>
    <col min="8972" max="8972" width="7.7109375" bestFit="1" customWidth="1"/>
    <col min="8973" max="8973" width="14.7109375" customWidth="1"/>
    <col min="8974" max="8974" width="7.85546875" bestFit="1" customWidth="1"/>
    <col min="9223" max="9223" width="37.42578125" bestFit="1" customWidth="1"/>
    <col min="9224" max="9224" width="13.85546875" bestFit="1" customWidth="1"/>
    <col min="9225" max="9225" width="13.42578125" customWidth="1"/>
    <col min="9226" max="9226" width="7.85546875" bestFit="1" customWidth="1"/>
    <col min="9227" max="9227" width="13.28515625" customWidth="1"/>
    <col min="9228" max="9228" width="7.7109375" bestFit="1" customWidth="1"/>
    <col min="9229" max="9229" width="14.7109375" customWidth="1"/>
    <col min="9230" max="9230" width="7.85546875" bestFit="1" customWidth="1"/>
    <col min="9479" max="9479" width="37.42578125" bestFit="1" customWidth="1"/>
    <col min="9480" max="9480" width="13.85546875" bestFit="1" customWidth="1"/>
    <col min="9481" max="9481" width="13.42578125" customWidth="1"/>
    <col min="9482" max="9482" width="7.85546875" bestFit="1" customWidth="1"/>
    <col min="9483" max="9483" width="13.28515625" customWidth="1"/>
    <col min="9484" max="9484" width="7.7109375" bestFit="1" customWidth="1"/>
    <col min="9485" max="9485" width="14.7109375" customWidth="1"/>
    <col min="9486" max="9486" width="7.85546875" bestFit="1" customWidth="1"/>
    <col min="9735" max="9735" width="37.42578125" bestFit="1" customWidth="1"/>
    <col min="9736" max="9736" width="13.85546875" bestFit="1" customWidth="1"/>
    <col min="9737" max="9737" width="13.42578125" customWidth="1"/>
    <col min="9738" max="9738" width="7.85546875" bestFit="1" customWidth="1"/>
    <col min="9739" max="9739" width="13.28515625" customWidth="1"/>
    <col min="9740" max="9740" width="7.7109375" bestFit="1" customWidth="1"/>
    <col min="9741" max="9741" width="14.7109375" customWidth="1"/>
    <col min="9742" max="9742" width="7.85546875" bestFit="1" customWidth="1"/>
    <col min="9991" max="9991" width="37.42578125" bestFit="1" customWidth="1"/>
    <col min="9992" max="9992" width="13.85546875" bestFit="1" customWidth="1"/>
    <col min="9993" max="9993" width="13.42578125" customWidth="1"/>
    <col min="9994" max="9994" width="7.85546875" bestFit="1" customWidth="1"/>
    <col min="9995" max="9995" width="13.28515625" customWidth="1"/>
    <col min="9996" max="9996" width="7.7109375" bestFit="1" customWidth="1"/>
    <col min="9997" max="9997" width="14.7109375" customWidth="1"/>
    <col min="9998" max="9998" width="7.85546875" bestFit="1" customWidth="1"/>
    <col min="10247" max="10247" width="37.42578125" bestFit="1" customWidth="1"/>
    <col min="10248" max="10248" width="13.85546875" bestFit="1" customWidth="1"/>
    <col min="10249" max="10249" width="13.42578125" customWidth="1"/>
    <col min="10250" max="10250" width="7.85546875" bestFit="1" customWidth="1"/>
    <col min="10251" max="10251" width="13.28515625" customWidth="1"/>
    <col min="10252" max="10252" width="7.7109375" bestFit="1" customWidth="1"/>
    <col min="10253" max="10253" width="14.7109375" customWidth="1"/>
    <col min="10254" max="10254" width="7.85546875" bestFit="1" customWidth="1"/>
    <col min="10503" max="10503" width="37.42578125" bestFit="1" customWidth="1"/>
    <col min="10504" max="10504" width="13.85546875" bestFit="1" customWidth="1"/>
    <col min="10505" max="10505" width="13.42578125" customWidth="1"/>
    <col min="10506" max="10506" width="7.85546875" bestFit="1" customWidth="1"/>
    <col min="10507" max="10507" width="13.28515625" customWidth="1"/>
    <col min="10508" max="10508" width="7.7109375" bestFit="1" customWidth="1"/>
    <col min="10509" max="10509" width="14.7109375" customWidth="1"/>
    <col min="10510" max="10510" width="7.85546875" bestFit="1" customWidth="1"/>
    <col min="10759" max="10759" width="37.42578125" bestFit="1" customWidth="1"/>
    <col min="10760" max="10760" width="13.85546875" bestFit="1" customWidth="1"/>
    <col min="10761" max="10761" width="13.42578125" customWidth="1"/>
    <col min="10762" max="10762" width="7.85546875" bestFit="1" customWidth="1"/>
    <col min="10763" max="10763" width="13.28515625" customWidth="1"/>
    <col min="10764" max="10764" width="7.7109375" bestFit="1" customWidth="1"/>
    <col min="10765" max="10765" width="14.7109375" customWidth="1"/>
    <col min="10766" max="10766" width="7.85546875" bestFit="1" customWidth="1"/>
    <col min="11015" max="11015" width="37.42578125" bestFit="1" customWidth="1"/>
    <col min="11016" max="11016" width="13.85546875" bestFit="1" customWidth="1"/>
    <col min="11017" max="11017" width="13.42578125" customWidth="1"/>
    <col min="11018" max="11018" width="7.85546875" bestFit="1" customWidth="1"/>
    <col min="11019" max="11019" width="13.28515625" customWidth="1"/>
    <col min="11020" max="11020" width="7.7109375" bestFit="1" customWidth="1"/>
    <col min="11021" max="11021" width="14.7109375" customWidth="1"/>
    <col min="11022" max="11022" width="7.85546875" bestFit="1" customWidth="1"/>
    <col min="11271" max="11271" width="37.42578125" bestFit="1" customWidth="1"/>
    <col min="11272" max="11272" width="13.85546875" bestFit="1" customWidth="1"/>
    <col min="11273" max="11273" width="13.42578125" customWidth="1"/>
    <col min="11274" max="11274" width="7.85546875" bestFit="1" customWidth="1"/>
    <col min="11275" max="11275" width="13.28515625" customWidth="1"/>
    <col min="11276" max="11276" width="7.7109375" bestFit="1" customWidth="1"/>
    <col min="11277" max="11277" width="14.7109375" customWidth="1"/>
    <col min="11278" max="11278" width="7.85546875" bestFit="1" customWidth="1"/>
    <col min="11527" max="11527" width="37.42578125" bestFit="1" customWidth="1"/>
    <col min="11528" max="11528" width="13.85546875" bestFit="1" customWidth="1"/>
    <col min="11529" max="11529" width="13.42578125" customWidth="1"/>
    <col min="11530" max="11530" width="7.85546875" bestFit="1" customWidth="1"/>
    <col min="11531" max="11531" width="13.28515625" customWidth="1"/>
    <col min="11532" max="11532" width="7.7109375" bestFit="1" customWidth="1"/>
    <col min="11533" max="11533" width="14.7109375" customWidth="1"/>
    <col min="11534" max="11534" width="7.85546875" bestFit="1" customWidth="1"/>
    <col min="11783" max="11783" width="37.42578125" bestFit="1" customWidth="1"/>
    <col min="11784" max="11784" width="13.85546875" bestFit="1" customWidth="1"/>
    <col min="11785" max="11785" width="13.42578125" customWidth="1"/>
    <col min="11786" max="11786" width="7.85546875" bestFit="1" customWidth="1"/>
    <col min="11787" max="11787" width="13.28515625" customWidth="1"/>
    <col min="11788" max="11788" width="7.7109375" bestFit="1" customWidth="1"/>
    <col min="11789" max="11789" width="14.7109375" customWidth="1"/>
    <col min="11790" max="11790" width="7.85546875" bestFit="1" customWidth="1"/>
    <col min="12039" max="12039" width="37.42578125" bestFit="1" customWidth="1"/>
    <col min="12040" max="12040" width="13.85546875" bestFit="1" customWidth="1"/>
    <col min="12041" max="12041" width="13.42578125" customWidth="1"/>
    <col min="12042" max="12042" width="7.85546875" bestFit="1" customWidth="1"/>
    <col min="12043" max="12043" width="13.28515625" customWidth="1"/>
    <col min="12044" max="12044" width="7.7109375" bestFit="1" customWidth="1"/>
    <col min="12045" max="12045" width="14.7109375" customWidth="1"/>
    <col min="12046" max="12046" width="7.85546875" bestFit="1" customWidth="1"/>
    <col min="12295" max="12295" width="37.42578125" bestFit="1" customWidth="1"/>
    <col min="12296" max="12296" width="13.85546875" bestFit="1" customWidth="1"/>
    <col min="12297" max="12297" width="13.42578125" customWidth="1"/>
    <col min="12298" max="12298" width="7.85546875" bestFit="1" customWidth="1"/>
    <col min="12299" max="12299" width="13.28515625" customWidth="1"/>
    <col min="12300" max="12300" width="7.7109375" bestFit="1" customWidth="1"/>
    <col min="12301" max="12301" width="14.7109375" customWidth="1"/>
    <col min="12302" max="12302" width="7.85546875" bestFit="1" customWidth="1"/>
    <col min="12551" max="12551" width="37.42578125" bestFit="1" customWidth="1"/>
    <col min="12552" max="12552" width="13.85546875" bestFit="1" customWidth="1"/>
    <col min="12553" max="12553" width="13.42578125" customWidth="1"/>
    <col min="12554" max="12554" width="7.85546875" bestFit="1" customWidth="1"/>
    <col min="12555" max="12555" width="13.28515625" customWidth="1"/>
    <col min="12556" max="12556" width="7.7109375" bestFit="1" customWidth="1"/>
    <col min="12557" max="12557" width="14.7109375" customWidth="1"/>
    <col min="12558" max="12558" width="7.85546875" bestFit="1" customWidth="1"/>
    <col min="12807" max="12807" width="37.42578125" bestFit="1" customWidth="1"/>
    <col min="12808" max="12808" width="13.85546875" bestFit="1" customWidth="1"/>
    <col min="12809" max="12809" width="13.42578125" customWidth="1"/>
    <col min="12810" max="12810" width="7.85546875" bestFit="1" customWidth="1"/>
    <col min="12811" max="12811" width="13.28515625" customWidth="1"/>
    <col min="12812" max="12812" width="7.7109375" bestFit="1" customWidth="1"/>
    <col min="12813" max="12813" width="14.7109375" customWidth="1"/>
    <col min="12814" max="12814" width="7.85546875" bestFit="1" customWidth="1"/>
    <col min="13063" max="13063" width="37.42578125" bestFit="1" customWidth="1"/>
    <col min="13064" max="13064" width="13.85546875" bestFit="1" customWidth="1"/>
    <col min="13065" max="13065" width="13.42578125" customWidth="1"/>
    <col min="13066" max="13066" width="7.85546875" bestFit="1" customWidth="1"/>
    <col min="13067" max="13067" width="13.28515625" customWidth="1"/>
    <col min="13068" max="13068" width="7.7109375" bestFit="1" customWidth="1"/>
    <col min="13069" max="13069" width="14.7109375" customWidth="1"/>
    <col min="13070" max="13070" width="7.85546875" bestFit="1" customWidth="1"/>
    <col min="13319" max="13319" width="37.42578125" bestFit="1" customWidth="1"/>
    <col min="13320" max="13320" width="13.85546875" bestFit="1" customWidth="1"/>
    <col min="13321" max="13321" width="13.42578125" customWidth="1"/>
    <col min="13322" max="13322" width="7.85546875" bestFit="1" customWidth="1"/>
    <col min="13323" max="13323" width="13.28515625" customWidth="1"/>
    <col min="13324" max="13324" width="7.7109375" bestFit="1" customWidth="1"/>
    <col min="13325" max="13325" width="14.7109375" customWidth="1"/>
    <col min="13326" max="13326" width="7.85546875" bestFit="1" customWidth="1"/>
    <col min="13575" max="13575" width="37.42578125" bestFit="1" customWidth="1"/>
    <col min="13576" max="13576" width="13.85546875" bestFit="1" customWidth="1"/>
    <col min="13577" max="13577" width="13.42578125" customWidth="1"/>
    <col min="13578" max="13578" width="7.85546875" bestFit="1" customWidth="1"/>
    <col min="13579" max="13579" width="13.28515625" customWidth="1"/>
    <col min="13580" max="13580" width="7.7109375" bestFit="1" customWidth="1"/>
    <col min="13581" max="13581" width="14.7109375" customWidth="1"/>
    <col min="13582" max="13582" width="7.85546875" bestFit="1" customWidth="1"/>
    <col min="13831" max="13831" width="37.42578125" bestFit="1" customWidth="1"/>
    <col min="13832" max="13832" width="13.85546875" bestFit="1" customWidth="1"/>
    <col min="13833" max="13833" width="13.42578125" customWidth="1"/>
    <col min="13834" max="13834" width="7.85546875" bestFit="1" customWidth="1"/>
    <col min="13835" max="13835" width="13.28515625" customWidth="1"/>
    <col min="13836" max="13836" width="7.7109375" bestFit="1" customWidth="1"/>
    <col min="13837" max="13837" width="14.7109375" customWidth="1"/>
    <col min="13838" max="13838" width="7.85546875" bestFit="1" customWidth="1"/>
    <col min="14087" max="14087" width="37.42578125" bestFit="1" customWidth="1"/>
    <col min="14088" max="14088" width="13.85546875" bestFit="1" customWidth="1"/>
    <col min="14089" max="14089" width="13.42578125" customWidth="1"/>
    <col min="14090" max="14090" width="7.85546875" bestFit="1" customWidth="1"/>
    <col min="14091" max="14091" width="13.28515625" customWidth="1"/>
    <col min="14092" max="14092" width="7.7109375" bestFit="1" customWidth="1"/>
    <col min="14093" max="14093" width="14.7109375" customWidth="1"/>
    <col min="14094" max="14094" width="7.85546875" bestFit="1" customWidth="1"/>
    <col min="14343" max="14343" width="37.42578125" bestFit="1" customWidth="1"/>
    <col min="14344" max="14344" width="13.85546875" bestFit="1" customWidth="1"/>
    <col min="14345" max="14345" width="13.42578125" customWidth="1"/>
    <col min="14346" max="14346" width="7.85546875" bestFit="1" customWidth="1"/>
    <col min="14347" max="14347" width="13.28515625" customWidth="1"/>
    <col min="14348" max="14348" width="7.7109375" bestFit="1" customWidth="1"/>
    <col min="14349" max="14349" width="14.7109375" customWidth="1"/>
    <col min="14350" max="14350" width="7.85546875" bestFit="1" customWidth="1"/>
    <col min="14599" max="14599" width="37.42578125" bestFit="1" customWidth="1"/>
    <col min="14600" max="14600" width="13.85546875" bestFit="1" customWidth="1"/>
    <col min="14601" max="14601" width="13.42578125" customWidth="1"/>
    <col min="14602" max="14602" width="7.85546875" bestFit="1" customWidth="1"/>
    <col min="14603" max="14603" width="13.28515625" customWidth="1"/>
    <col min="14604" max="14604" width="7.7109375" bestFit="1" customWidth="1"/>
    <col min="14605" max="14605" width="14.7109375" customWidth="1"/>
    <col min="14606" max="14606" width="7.85546875" bestFit="1" customWidth="1"/>
    <col min="14855" max="14855" width="37.42578125" bestFit="1" customWidth="1"/>
    <col min="14856" max="14856" width="13.85546875" bestFit="1" customWidth="1"/>
    <col min="14857" max="14857" width="13.42578125" customWidth="1"/>
    <col min="14858" max="14858" width="7.85546875" bestFit="1" customWidth="1"/>
    <col min="14859" max="14859" width="13.28515625" customWidth="1"/>
    <col min="14860" max="14860" width="7.7109375" bestFit="1" customWidth="1"/>
    <col min="14861" max="14861" width="14.7109375" customWidth="1"/>
    <col min="14862" max="14862" width="7.85546875" bestFit="1" customWidth="1"/>
    <col min="15111" max="15111" width="37.42578125" bestFit="1" customWidth="1"/>
    <col min="15112" max="15112" width="13.85546875" bestFit="1" customWidth="1"/>
    <col min="15113" max="15113" width="13.42578125" customWidth="1"/>
    <col min="15114" max="15114" width="7.85546875" bestFit="1" customWidth="1"/>
    <col min="15115" max="15115" width="13.28515625" customWidth="1"/>
    <col min="15116" max="15116" width="7.7109375" bestFit="1" customWidth="1"/>
    <col min="15117" max="15117" width="14.7109375" customWidth="1"/>
    <col min="15118" max="15118" width="7.85546875" bestFit="1" customWidth="1"/>
    <col min="15367" max="15367" width="37.42578125" bestFit="1" customWidth="1"/>
    <col min="15368" max="15368" width="13.85546875" bestFit="1" customWidth="1"/>
    <col min="15369" max="15369" width="13.42578125" customWidth="1"/>
    <col min="15370" max="15370" width="7.85546875" bestFit="1" customWidth="1"/>
    <col min="15371" max="15371" width="13.28515625" customWidth="1"/>
    <col min="15372" max="15372" width="7.7109375" bestFit="1" customWidth="1"/>
    <col min="15373" max="15373" width="14.7109375" customWidth="1"/>
    <col min="15374" max="15374" width="7.85546875" bestFit="1" customWidth="1"/>
    <col min="15623" max="15623" width="37.42578125" bestFit="1" customWidth="1"/>
    <col min="15624" max="15624" width="13.85546875" bestFit="1" customWidth="1"/>
    <col min="15625" max="15625" width="13.42578125" customWidth="1"/>
    <col min="15626" max="15626" width="7.85546875" bestFit="1" customWidth="1"/>
    <col min="15627" max="15627" width="13.28515625" customWidth="1"/>
    <col min="15628" max="15628" width="7.7109375" bestFit="1" customWidth="1"/>
    <col min="15629" max="15629" width="14.7109375" customWidth="1"/>
    <col min="15630" max="15630" width="7.85546875" bestFit="1" customWidth="1"/>
    <col min="15879" max="15879" width="37.42578125" bestFit="1" customWidth="1"/>
    <col min="15880" max="15880" width="13.85546875" bestFit="1" customWidth="1"/>
    <col min="15881" max="15881" width="13.42578125" customWidth="1"/>
    <col min="15882" max="15882" width="7.85546875" bestFit="1" customWidth="1"/>
    <col min="15883" max="15883" width="13.28515625" customWidth="1"/>
    <col min="15884" max="15884" width="7.7109375" bestFit="1" customWidth="1"/>
    <col min="15885" max="15885" width="14.7109375" customWidth="1"/>
    <col min="15886" max="15886" width="7.85546875" bestFit="1" customWidth="1"/>
    <col min="16135" max="16135" width="37.42578125" bestFit="1" customWidth="1"/>
    <col min="16136" max="16136" width="13.85546875" bestFit="1" customWidth="1"/>
    <col min="16137" max="16137" width="13.42578125" customWidth="1"/>
    <col min="16138" max="16138" width="7.85546875" bestFit="1" customWidth="1"/>
    <col min="16139" max="16139" width="13.28515625" customWidth="1"/>
    <col min="16140" max="16140" width="7.7109375" bestFit="1" customWidth="1"/>
    <col min="16141" max="16141" width="14.7109375" customWidth="1"/>
    <col min="16142" max="16142" width="7.85546875" bestFit="1" customWidth="1"/>
  </cols>
  <sheetData>
    <row r="3" spans="2:28" ht="15.75" thickBot="1" x14ac:dyDescent="0.3">
      <c r="I3" t="s">
        <v>30</v>
      </c>
      <c r="J3" s="40">
        <f>+J12</f>
        <v>26019</v>
      </c>
    </row>
    <row r="4" spans="2:28" ht="26.25" customHeight="1" x14ac:dyDescent="0.25">
      <c r="B4" s="471" t="s">
        <v>0</v>
      </c>
      <c r="C4" s="473" t="s">
        <v>23</v>
      </c>
      <c r="D4" s="473"/>
      <c r="E4" s="473"/>
      <c r="F4" s="474" t="s">
        <v>77</v>
      </c>
      <c r="G4" s="474"/>
      <c r="H4" s="476" t="s">
        <v>24</v>
      </c>
      <c r="I4" s="477"/>
      <c r="J4" s="480" t="s">
        <v>29</v>
      </c>
      <c r="K4" s="481"/>
      <c r="L4" s="465" t="s">
        <v>31</v>
      </c>
      <c r="M4" s="469"/>
      <c r="N4" s="465" t="s">
        <v>73</v>
      </c>
      <c r="O4" s="466"/>
    </row>
    <row r="5" spans="2:28" ht="31.5" customHeight="1" x14ac:dyDescent="0.25">
      <c r="B5" s="472"/>
      <c r="C5" s="115" t="s">
        <v>33</v>
      </c>
      <c r="D5" s="115" t="s">
        <v>22</v>
      </c>
      <c r="E5" s="114" t="s">
        <v>1</v>
      </c>
      <c r="F5" s="475"/>
      <c r="G5" s="475"/>
      <c r="H5" s="478"/>
      <c r="I5" s="479"/>
      <c r="J5" s="482"/>
      <c r="K5" s="483"/>
      <c r="L5" s="467"/>
      <c r="M5" s="470"/>
      <c r="N5" s="467"/>
      <c r="O5" s="468"/>
    </row>
    <row r="6" spans="2:28" ht="14.45" customHeight="1" x14ac:dyDescent="0.25">
      <c r="B6" s="116" t="s">
        <v>2</v>
      </c>
      <c r="C6" s="2"/>
      <c r="D6" s="2"/>
      <c r="E6" s="2"/>
      <c r="F6" s="2"/>
      <c r="G6" s="2"/>
      <c r="H6" s="2"/>
      <c r="I6" s="2"/>
      <c r="J6" s="65"/>
      <c r="K6" s="59"/>
      <c r="L6" s="58"/>
      <c r="M6" s="59"/>
      <c r="N6" s="58"/>
      <c r="O6" s="117"/>
      <c r="S6">
        <v>59152</v>
      </c>
      <c r="T6" t="s">
        <v>26</v>
      </c>
      <c r="Y6" t="s">
        <v>43</v>
      </c>
      <c r="Z6" t="s">
        <v>44</v>
      </c>
      <c r="AA6" t="s">
        <v>45</v>
      </c>
    </row>
    <row r="7" spans="2:28" ht="22.5" x14ac:dyDescent="0.25">
      <c r="B7" s="116" t="s">
        <v>3</v>
      </c>
      <c r="C7" s="4">
        <v>22771</v>
      </c>
      <c r="D7" s="4">
        <v>22785</v>
      </c>
      <c r="E7" s="53">
        <f>D7/D12</f>
        <v>0.93499938446386799</v>
      </c>
      <c r="F7" s="4">
        <f>11951+1931+(1931/31*8)</f>
        <v>14380.322580645161</v>
      </c>
      <c r="G7" s="5">
        <f>F7/D7</f>
        <v>0.63113112050231124</v>
      </c>
      <c r="H7" s="4">
        <v>23651</v>
      </c>
      <c r="I7" s="53">
        <f>H7/D7</f>
        <v>1.0380074610489356</v>
      </c>
      <c r="J7" s="46">
        <v>25135</v>
      </c>
      <c r="K7" s="60">
        <f>+J7/H7</f>
        <v>1.0627457612785929</v>
      </c>
      <c r="L7" s="41">
        <v>25135</v>
      </c>
      <c r="M7" s="53">
        <f>+L7/H7</f>
        <v>1.0627457612785929</v>
      </c>
      <c r="N7" s="41">
        <v>25135</v>
      </c>
      <c r="O7" s="118">
        <f>+N7/H7</f>
        <v>1.0627457612785929</v>
      </c>
      <c r="S7">
        <v>253312</v>
      </c>
      <c r="T7" t="s">
        <v>25</v>
      </c>
      <c r="W7" t="s">
        <v>42</v>
      </c>
      <c r="X7" s="74" t="s">
        <v>39</v>
      </c>
      <c r="Y7" s="75">
        <v>1155700</v>
      </c>
      <c r="Z7" s="79">
        <v>84894.39721472931</v>
      </c>
      <c r="AA7" s="79">
        <v>1240594.3972147293</v>
      </c>
      <c r="AB7" s="36">
        <f>+AA7/AA10</f>
        <v>0.72498588545260645</v>
      </c>
    </row>
    <row r="8" spans="2:28" ht="22.5" x14ac:dyDescent="0.25">
      <c r="B8" s="116" t="s">
        <v>4</v>
      </c>
      <c r="C8" s="4">
        <v>514</v>
      </c>
      <c r="D8" s="4">
        <v>451</v>
      </c>
      <c r="E8" s="53">
        <f>D8/D12</f>
        <v>1.8507119701259796E-2</v>
      </c>
      <c r="F8" s="37">
        <f>393+66+(66/31*8)</f>
        <v>476.0322580645161</v>
      </c>
      <c r="G8" s="5">
        <f>F8/D8</f>
        <v>1.0555038981474858</v>
      </c>
      <c r="H8" s="4">
        <f>319+(66*6)</f>
        <v>715</v>
      </c>
      <c r="I8" s="53">
        <f>H8/D8</f>
        <v>1.5853658536585367</v>
      </c>
      <c r="J8" s="46">
        <f>26000*3.4/100</f>
        <v>884</v>
      </c>
      <c r="K8" s="60">
        <f t="shared" ref="K8:K9" si="0">+J8/H8</f>
        <v>1.2363636363636363</v>
      </c>
      <c r="L8" s="41">
        <v>884</v>
      </c>
      <c r="M8" s="53">
        <f t="shared" ref="M8:M25" si="1">+L8/H8</f>
        <v>1.2363636363636363</v>
      </c>
      <c r="N8" s="41">
        <f>ROUND(+Intereses!N10,0)</f>
        <v>2133</v>
      </c>
      <c r="O8" s="118">
        <f t="shared" ref="O8:O9" si="2">+N8/H8</f>
        <v>2.9832167832167831</v>
      </c>
      <c r="P8" s="20"/>
      <c r="S8">
        <f>+S7+S6</f>
        <v>312464</v>
      </c>
      <c r="X8" s="74" t="s">
        <v>11</v>
      </c>
      <c r="Y8" s="75">
        <v>438400</v>
      </c>
      <c r="Z8" s="79">
        <v>32203.602785270683</v>
      </c>
      <c r="AA8" s="79">
        <v>470603.60278527066</v>
      </c>
      <c r="AB8" s="36">
        <f>+AA8/AA10</f>
        <v>0.2750141145473935</v>
      </c>
    </row>
    <row r="9" spans="2:28" ht="22.5" x14ac:dyDescent="0.25">
      <c r="B9" s="119" t="s">
        <v>5</v>
      </c>
      <c r="C9" s="30">
        <f>+C7+C8</f>
        <v>23285</v>
      </c>
      <c r="D9" s="30">
        <f>+D7+D8</f>
        <v>23236</v>
      </c>
      <c r="E9" s="31">
        <f>D9/D12</f>
        <v>0.95350650416512783</v>
      </c>
      <c r="F9" s="30">
        <f>+F7+F8</f>
        <v>14856.354838709678</v>
      </c>
      <c r="G9" s="31">
        <f>F9/D9</f>
        <v>0.63936799960017554</v>
      </c>
      <c r="H9" s="30">
        <f>+H7+H8</f>
        <v>24366</v>
      </c>
      <c r="I9" s="71">
        <f>H9/D9</f>
        <v>1.0486314339817524</v>
      </c>
      <c r="J9" s="43">
        <f>SUM(J7:J8)</f>
        <v>26019</v>
      </c>
      <c r="K9" s="72">
        <f t="shared" si="0"/>
        <v>1.0678404333907905</v>
      </c>
      <c r="L9" s="43">
        <f>SUM(L7:L8)</f>
        <v>26019</v>
      </c>
      <c r="M9" s="71">
        <f t="shared" si="1"/>
        <v>1.0678404333907905</v>
      </c>
      <c r="N9" s="43">
        <f>SUM(N7:N8)</f>
        <v>27268</v>
      </c>
      <c r="O9" s="120">
        <f t="shared" si="2"/>
        <v>1.1191003857834687</v>
      </c>
      <c r="Q9" s="57"/>
      <c r="X9" s="74" t="s">
        <v>40</v>
      </c>
      <c r="Y9" s="75"/>
    </row>
    <row r="10" spans="2:28" ht="18.75" x14ac:dyDescent="0.3">
      <c r="B10" s="121" t="s">
        <v>6</v>
      </c>
      <c r="C10" s="14"/>
      <c r="D10" s="14">
        <v>1133</v>
      </c>
      <c r="E10" s="15">
        <f>D10/D12</f>
        <v>4.6493495834872174E-2</v>
      </c>
      <c r="F10" s="16"/>
      <c r="G10" s="16"/>
      <c r="H10" s="14">
        <v>1133</v>
      </c>
      <c r="I10" s="28">
        <f>H10/D10</f>
        <v>1</v>
      </c>
      <c r="J10" s="47">
        <v>0</v>
      </c>
      <c r="K10" s="61"/>
      <c r="L10" s="42">
        <v>1133</v>
      </c>
      <c r="M10" s="54">
        <f t="shared" si="1"/>
        <v>1</v>
      </c>
      <c r="N10" s="42">
        <f>5860+229-13+2-679+450+25-50-25+37+1+1264</f>
        <v>7101</v>
      </c>
      <c r="O10" s="122">
        <f>+N10/H10</f>
        <v>6.2674315975286845</v>
      </c>
      <c r="S10" s="38">
        <v>13976289</v>
      </c>
      <c r="X10" s="74" t="s">
        <v>41</v>
      </c>
      <c r="Y10" s="75">
        <f>SUM(Y7:Y9)</f>
        <v>1594100</v>
      </c>
      <c r="Z10" s="75">
        <f>SUM(Z7:Z9)</f>
        <v>117098</v>
      </c>
      <c r="AA10" s="75">
        <f>SUM(AA7:AA9)</f>
        <v>1711198</v>
      </c>
    </row>
    <row r="11" spans="2:28" ht="16.5" x14ac:dyDescent="0.25">
      <c r="B11" s="121" t="s">
        <v>27</v>
      </c>
      <c r="C11" s="14"/>
      <c r="D11" s="14"/>
      <c r="E11" s="17"/>
      <c r="F11" s="17"/>
      <c r="G11" s="17"/>
      <c r="H11" s="14">
        <v>2085</v>
      </c>
      <c r="I11" s="16"/>
      <c r="J11" s="47">
        <v>0</v>
      </c>
      <c r="K11" s="61"/>
      <c r="L11" s="42">
        <v>0</v>
      </c>
      <c r="M11" s="54">
        <f t="shared" si="1"/>
        <v>0</v>
      </c>
      <c r="N11" s="42">
        <v>0</v>
      </c>
      <c r="O11" s="122">
        <v>0</v>
      </c>
      <c r="S11">
        <f>+S10/7</f>
        <v>1996612.7142857143</v>
      </c>
      <c r="U11" s="20">
        <f>+H14-H12</f>
        <v>-944</v>
      </c>
    </row>
    <row r="12" spans="2:28" ht="16.5" x14ac:dyDescent="0.25">
      <c r="B12" s="123" t="s">
        <v>7</v>
      </c>
      <c r="C12" s="33">
        <f>+C11+C9</f>
        <v>23285</v>
      </c>
      <c r="D12" s="33">
        <f>+D9+D10</f>
        <v>24369</v>
      </c>
      <c r="E12" s="34">
        <f>D12/D12</f>
        <v>1</v>
      </c>
      <c r="F12" s="33">
        <f>+F9+F10</f>
        <v>14856.354838709678</v>
      </c>
      <c r="G12" s="34">
        <f>F12/D12</f>
        <v>0.60964154617381416</v>
      </c>
      <c r="H12" s="33">
        <f>+H9+H10+H11</f>
        <v>27584</v>
      </c>
      <c r="I12" s="34">
        <f>H12/D12</f>
        <v>1.1319299109524397</v>
      </c>
      <c r="J12" s="44">
        <f>SUM(J9:J11)</f>
        <v>26019</v>
      </c>
      <c r="K12" s="60">
        <f t="shared" ref="K12:K25" si="3">+J12/H12</f>
        <v>0.94326421113689096</v>
      </c>
      <c r="L12" s="44">
        <f>SUM(L9:L11)</f>
        <v>27152</v>
      </c>
      <c r="M12" s="53">
        <f t="shared" si="1"/>
        <v>0.98433874709976799</v>
      </c>
      <c r="N12" s="44">
        <f>SUM(N9:N11)</f>
        <v>34369</v>
      </c>
      <c r="O12" s="118">
        <f>+N12/H12</f>
        <v>1.245975928074246</v>
      </c>
      <c r="S12">
        <f>+S11*5</f>
        <v>9983063.5714285709</v>
      </c>
    </row>
    <row r="13" spans="2:28" x14ac:dyDescent="0.25">
      <c r="B13" s="116" t="s">
        <v>8</v>
      </c>
      <c r="C13" s="18"/>
      <c r="D13" s="18"/>
      <c r="E13" s="18"/>
      <c r="F13" s="18"/>
      <c r="G13" s="18"/>
      <c r="H13" s="18"/>
      <c r="I13" s="19"/>
      <c r="J13" s="48"/>
      <c r="K13" s="62"/>
      <c r="L13" s="18"/>
      <c r="M13" s="55"/>
      <c r="N13" s="18"/>
      <c r="O13" s="124"/>
      <c r="P13" s="20"/>
      <c r="S13" s="39"/>
    </row>
    <row r="14" spans="2:28" ht="16.5" x14ac:dyDescent="0.25">
      <c r="B14" s="125" t="s">
        <v>9</v>
      </c>
      <c r="C14" s="33">
        <f>+C18+C22+C25</f>
        <v>20678</v>
      </c>
      <c r="D14" s="33">
        <f>+D18+D22+D25</f>
        <v>24369</v>
      </c>
      <c r="E14" s="34">
        <v>1</v>
      </c>
      <c r="F14" s="33">
        <f>+F18+F22+F25</f>
        <v>22061</v>
      </c>
      <c r="G14" s="34">
        <f>F14/D14</f>
        <v>0.90528950716073697</v>
      </c>
      <c r="H14" s="33">
        <f>+H18+H22+H25</f>
        <v>26640</v>
      </c>
      <c r="I14" s="34">
        <f>H14/D14</f>
        <v>1.0931921703804013</v>
      </c>
      <c r="J14" s="49">
        <f>+J18+J22+J25</f>
        <v>26019.390521123758</v>
      </c>
      <c r="K14" s="60">
        <f t="shared" si="3"/>
        <v>0.97670384839053148</v>
      </c>
      <c r="L14" s="33">
        <f>+L18+L22+L25</f>
        <v>27152</v>
      </c>
      <c r="M14" s="53">
        <f t="shared" si="1"/>
        <v>1.0192192192192193</v>
      </c>
      <c r="N14" s="33">
        <f>+N18+N22+N25</f>
        <v>32887</v>
      </c>
      <c r="O14" s="118">
        <f t="shared" ref="O14" si="4">+N14/J14</f>
        <v>1.2639419810122299</v>
      </c>
      <c r="P14" s="20"/>
      <c r="Q14" s="20"/>
    </row>
    <row r="15" spans="2:28" x14ac:dyDescent="0.25">
      <c r="B15" s="116" t="s">
        <v>10</v>
      </c>
      <c r="C15" s="21"/>
      <c r="D15" s="2"/>
      <c r="E15" s="2"/>
      <c r="F15" s="2"/>
      <c r="G15" s="2"/>
      <c r="H15" s="21"/>
      <c r="I15" s="2"/>
      <c r="J15" s="73"/>
      <c r="K15" s="63"/>
      <c r="L15" s="45"/>
      <c r="M15" s="126"/>
      <c r="N15" s="45"/>
      <c r="O15" s="127"/>
      <c r="Y15" s="109"/>
    </row>
    <row r="16" spans="2:28" ht="16.5" x14ac:dyDescent="0.25">
      <c r="B16" s="116" t="s">
        <v>11</v>
      </c>
      <c r="C16" s="22">
        <v>9411</v>
      </c>
      <c r="D16" s="22">
        <v>12000</v>
      </c>
      <c r="E16" s="3">
        <f>D16/D14</f>
        <v>0.49242890557675734</v>
      </c>
      <c r="F16" s="11">
        <v>10122</v>
      </c>
      <c r="G16" s="5">
        <f>F16/D16</f>
        <v>0.84350000000000003</v>
      </c>
      <c r="H16" s="12">
        <f>12228+205</f>
        <v>12433</v>
      </c>
      <c r="I16" s="7">
        <f>H16/D16</f>
        <v>1.0360833333333332</v>
      </c>
      <c r="J16" s="50">
        <f>12030.5715204804-205</f>
        <v>11825.5715204804</v>
      </c>
      <c r="K16" s="60">
        <f t="shared" si="3"/>
        <v>0.95114385268884416</v>
      </c>
      <c r="L16" s="12">
        <f>11970+680-11+86</f>
        <v>12725</v>
      </c>
      <c r="M16" s="53">
        <f t="shared" si="1"/>
        <v>1.0234858843400627</v>
      </c>
      <c r="N16" s="12">
        <f>13550+205+471+60</f>
        <v>14286</v>
      </c>
      <c r="O16" s="118">
        <f>+N16/H16</f>
        <v>1.1490388482264939</v>
      </c>
      <c r="P16" s="20"/>
      <c r="Q16" s="20"/>
      <c r="T16" s="20"/>
      <c r="U16" s="36"/>
      <c r="Z16" s="79"/>
    </row>
    <row r="17" spans="2:26" ht="16.5" x14ac:dyDescent="0.25">
      <c r="B17" s="116" t="s">
        <v>12</v>
      </c>
      <c r="C17" s="22">
        <v>7796</v>
      </c>
      <c r="D17" s="22">
        <v>8000</v>
      </c>
      <c r="E17" s="3">
        <f>D17/D14</f>
        <v>0.32828593705117159</v>
      </c>
      <c r="F17" s="11">
        <f>9291+351</f>
        <v>9642</v>
      </c>
      <c r="G17" s="5">
        <f>F17/D17</f>
        <v>1.2052499999999999</v>
      </c>
      <c r="H17" s="12">
        <f>625+9255+349</f>
        <v>10229</v>
      </c>
      <c r="I17" s="7">
        <f>H17/D17</f>
        <v>1.2786249999999999</v>
      </c>
      <c r="J17" s="50">
        <f>9791.81900064336+205</f>
        <v>9996.8190006433597</v>
      </c>
      <c r="K17" s="60">
        <f t="shared" si="3"/>
        <v>0.97730169133281453</v>
      </c>
      <c r="L17" s="12">
        <f>9702+453-11+86</f>
        <v>10230</v>
      </c>
      <c r="M17" s="53">
        <f t="shared" si="1"/>
        <v>1.0000977612669861</v>
      </c>
      <c r="N17" s="12">
        <f>10630+350+1241+60+174+37</f>
        <v>12492</v>
      </c>
      <c r="O17" s="118">
        <f>+N17/H17</f>
        <v>1.2212337471893635</v>
      </c>
      <c r="Q17" s="20"/>
      <c r="T17" s="20"/>
      <c r="U17" s="36"/>
      <c r="W17" s="38"/>
      <c r="Z17" s="79"/>
    </row>
    <row r="18" spans="2:26" ht="16.5" x14ac:dyDescent="0.25">
      <c r="B18" s="128" t="s">
        <v>13</v>
      </c>
      <c r="C18" s="9">
        <f>+C16+C17</f>
        <v>17207</v>
      </c>
      <c r="D18" s="9">
        <f>+D16+D17</f>
        <v>20000</v>
      </c>
      <c r="E18" s="10">
        <f>D18/D14</f>
        <v>0.82071484262792893</v>
      </c>
      <c r="F18" s="11">
        <f>+F16+F17</f>
        <v>19764</v>
      </c>
      <c r="G18" s="5">
        <f>F18/D18</f>
        <v>0.98819999999999997</v>
      </c>
      <c r="H18" s="12">
        <f>+H17+H16</f>
        <v>22662</v>
      </c>
      <c r="I18" s="7">
        <f>H18/D18</f>
        <v>1.1331</v>
      </c>
      <c r="J18" s="12">
        <f>+J17+J16</f>
        <v>21822.390521123758</v>
      </c>
      <c r="K18" s="60">
        <f t="shared" si="3"/>
        <v>0.96295077756260516</v>
      </c>
      <c r="L18" s="12">
        <f>+L17+L16</f>
        <v>22955</v>
      </c>
      <c r="M18" s="53">
        <f t="shared" si="1"/>
        <v>1.0129291324684493</v>
      </c>
      <c r="N18" s="12">
        <f>+N17+N16</f>
        <v>26778</v>
      </c>
      <c r="O18" s="118">
        <f>+N18/H18</f>
        <v>1.1816256288059306</v>
      </c>
      <c r="Q18" s="20"/>
      <c r="T18" s="20"/>
    </row>
    <row r="19" spans="2:26" x14ac:dyDescent="0.25">
      <c r="B19" s="129" t="s">
        <v>14</v>
      </c>
      <c r="C19" s="21"/>
      <c r="D19" s="2"/>
      <c r="E19" s="2"/>
      <c r="F19" s="21"/>
      <c r="G19" s="2"/>
      <c r="H19" s="21"/>
      <c r="I19" s="2"/>
      <c r="J19" s="51"/>
      <c r="K19" s="64"/>
      <c r="L19" s="21"/>
      <c r="M19" s="56"/>
      <c r="N19" s="21"/>
      <c r="O19" s="130"/>
      <c r="W19" s="39"/>
    </row>
    <row r="20" spans="2:26" ht="16.5" x14ac:dyDescent="0.25">
      <c r="B20" s="116" t="s">
        <v>15</v>
      </c>
      <c r="C20" s="22">
        <v>289</v>
      </c>
      <c r="D20" s="24">
        <v>569</v>
      </c>
      <c r="E20" s="3">
        <f>D20/D14</f>
        <v>2.334933727276458E-2</v>
      </c>
      <c r="F20" s="4">
        <v>332</v>
      </c>
      <c r="G20" s="5">
        <f>F20/D20</f>
        <v>0.58347978910369069</v>
      </c>
      <c r="H20" s="6">
        <v>475</v>
      </c>
      <c r="I20" s="7">
        <f>H20/D20</f>
        <v>0.83479789103690683</v>
      </c>
      <c r="J20" s="52">
        <v>373</v>
      </c>
      <c r="K20" s="60">
        <f t="shared" si="3"/>
        <v>0.78526315789473689</v>
      </c>
      <c r="L20" s="6">
        <v>373</v>
      </c>
      <c r="M20" s="53">
        <f t="shared" si="1"/>
        <v>0.78526315789473689</v>
      </c>
      <c r="N20" s="6">
        <v>714</v>
      </c>
      <c r="O20" s="118">
        <f>+N20/H20</f>
        <v>1.503157894736842</v>
      </c>
    </row>
    <row r="21" spans="2:26" ht="16.5" x14ac:dyDescent="0.25">
      <c r="B21" s="116" t="s">
        <v>16</v>
      </c>
      <c r="C21" s="22">
        <v>159</v>
      </c>
      <c r="D21" s="24">
        <v>200</v>
      </c>
      <c r="E21" s="3">
        <f>D21/D14</f>
        <v>8.2071484262792888E-3</v>
      </c>
      <c r="F21" s="4">
        <v>92</v>
      </c>
      <c r="G21" s="5">
        <f>F21/D21</f>
        <v>0.46</v>
      </c>
      <c r="H21" s="6">
        <v>159</v>
      </c>
      <c r="I21" s="7">
        <f>H21/D21</f>
        <v>0.79500000000000004</v>
      </c>
      <c r="J21" s="52">
        <v>349</v>
      </c>
      <c r="K21" s="60">
        <f t="shared" si="3"/>
        <v>2.1949685534591197</v>
      </c>
      <c r="L21" s="6">
        <v>349</v>
      </c>
      <c r="M21" s="53">
        <f t="shared" si="1"/>
        <v>2.1949685534591197</v>
      </c>
      <c r="N21" s="6">
        <v>350</v>
      </c>
      <c r="O21" s="118">
        <f>+N21/H21</f>
        <v>2.2012578616352201</v>
      </c>
      <c r="W21" s="38"/>
    </row>
    <row r="22" spans="2:26" ht="16.5" x14ac:dyDescent="0.25">
      <c r="B22" s="128" t="s">
        <v>17</v>
      </c>
      <c r="C22" s="9">
        <f>+C21+C20</f>
        <v>448</v>
      </c>
      <c r="D22" s="25">
        <f>+D20+D21</f>
        <v>769</v>
      </c>
      <c r="E22" s="10">
        <f>D22/D14</f>
        <v>3.1556485699043867E-2</v>
      </c>
      <c r="F22" s="11">
        <f>+F20+F21</f>
        <v>424</v>
      </c>
      <c r="G22" s="5">
        <f>F22/D22</f>
        <v>0.55136540962288683</v>
      </c>
      <c r="H22" s="12">
        <f>+H21+H20</f>
        <v>634</v>
      </c>
      <c r="I22" s="7">
        <f>H22/D22</f>
        <v>0.82444733420026006</v>
      </c>
      <c r="J22" s="50">
        <f>+J21+J20</f>
        <v>722</v>
      </c>
      <c r="K22" s="60">
        <f t="shared" si="3"/>
        <v>1.138801261829653</v>
      </c>
      <c r="L22" s="50">
        <f>+L21+L20</f>
        <v>722</v>
      </c>
      <c r="M22" s="53">
        <f t="shared" si="1"/>
        <v>1.138801261829653</v>
      </c>
      <c r="N22" s="50">
        <f>+N21+N20</f>
        <v>1064</v>
      </c>
      <c r="O22" s="118">
        <f>+N22/H22</f>
        <v>1.6782334384858044</v>
      </c>
      <c r="Q22" s="20"/>
    </row>
    <row r="23" spans="2:26" x14ac:dyDescent="0.25">
      <c r="B23" s="116" t="s">
        <v>18</v>
      </c>
      <c r="C23" s="21"/>
      <c r="D23" s="2"/>
      <c r="E23" s="2"/>
      <c r="F23" s="21"/>
      <c r="G23" s="2"/>
      <c r="H23" s="21"/>
      <c r="I23" s="2"/>
      <c r="J23" s="51"/>
      <c r="K23" s="64"/>
      <c r="L23" s="21"/>
      <c r="M23" s="56"/>
      <c r="N23" s="21"/>
      <c r="O23" s="130"/>
    </row>
    <row r="24" spans="2:26" ht="16.5" x14ac:dyDescent="0.25">
      <c r="B24" s="116" t="s">
        <v>19</v>
      </c>
      <c r="C24" s="22">
        <v>3023</v>
      </c>
      <c r="D24" s="22">
        <v>3600</v>
      </c>
      <c r="E24" s="3">
        <f>D24/D14</f>
        <v>0.1477286716730272</v>
      </c>
      <c r="F24" s="4">
        <f>1209+90+283+126+165</f>
        <v>1873</v>
      </c>
      <c r="G24" s="5">
        <f>F24/D24</f>
        <v>0.52027777777777773</v>
      </c>
      <c r="H24" s="12">
        <f>3023+321</f>
        <v>3344</v>
      </c>
      <c r="I24" s="7">
        <f>H24/D24</f>
        <v>0.92888888888888888</v>
      </c>
      <c r="J24" s="50">
        <v>3475</v>
      </c>
      <c r="K24" s="60">
        <f t="shared" si="3"/>
        <v>1.0391746411483254</v>
      </c>
      <c r="L24" s="12">
        <v>3475</v>
      </c>
      <c r="M24" s="53">
        <f t="shared" si="1"/>
        <v>1.0391746411483254</v>
      </c>
      <c r="N24" s="12">
        <f>3801</f>
        <v>3801</v>
      </c>
      <c r="O24" s="118">
        <f>+N24/H24</f>
        <v>1.1366626794258374</v>
      </c>
      <c r="P24" s="36"/>
    </row>
    <row r="25" spans="2:26" ht="16.5" x14ac:dyDescent="0.25">
      <c r="B25" s="128" t="s">
        <v>20</v>
      </c>
      <c r="C25" s="9">
        <f>+C24</f>
        <v>3023</v>
      </c>
      <c r="D25" s="9">
        <f>+D24</f>
        <v>3600</v>
      </c>
      <c r="E25" s="10">
        <f>D25/D14</f>
        <v>0.1477286716730272</v>
      </c>
      <c r="F25" s="11">
        <f>+F24</f>
        <v>1873</v>
      </c>
      <c r="G25" s="5">
        <f>F25/D25</f>
        <v>0.52027777777777773</v>
      </c>
      <c r="H25" s="12">
        <f>+H24</f>
        <v>3344</v>
      </c>
      <c r="I25" s="7">
        <f>H25/D25</f>
        <v>0.92888888888888888</v>
      </c>
      <c r="J25" s="12">
        <f>+J24</f>
        <v>3475</v>
      </c>
      <c r="K25" s="60">
        <f t="shared" si="3"/>
        <v>1.0391746411483254</v>
      </c>
      <c r="L25" s="12">
        <f>+L24</f>
        <v>3475</v>
      </c>
      <c r="M25" s="53">
        <f t="shared" si="1"/>
        <v>1.0391746411483254</v>
      </c>
      <c r="N25" s="12">
        <f>+N24+1244</f>
        <v>5045</v>
      </c>
      <c r="O25" s="118">
        <f>+N25/H25</f>
        <v>1.5086722488038278</v>
      </c>
      <c r="Q25" s="20"/>
    </row>
    <row r="26" spans="2:26" ht="17.45" hidden="1" customHeight="1" x14ac:dyDescent="0.25">
      <c r="B26" s="131" t="s">
        <v>21</v>
      </c>
      <c r="C26" s="26"/>
      <c r="D26" s="26"/>
      <c r="E26" s="26"/>
      <c r="F26" s="26"/>
      <c r="G26" s="26"/>
      <c r="H26" s="27">
        <f>+H12-H14</f>
        <v>944</v>
      </c>
      <c r="I26" s="19"/>
      <c r="J26" s="132"/>
      <c r="K26" s="126"/>
      <c r="L26" s="133"/>
      <c r="M26" s="126"/>
      <c r="N26" s="126"/>
      <c r="O26" s="134"/>
    </row>
    <row r="27" spans="2:26" x14ac:dyDescent="0.25">
      <c r="B27" s="135"/>
      <c r="C27" s="136"/>
      <c r="D27" s="136"/>
      <c r="E27" s="136"/>
      <c r="F27" s="136"/>
      <c r="G27" s="136"/>
      <c r="H27" s="136"/>
      <c r="I27" s="136"/>
      <c r="J27" s="132"/>
      <c r="K27" s="126"/>
      <c r="L27" s="133"/>
      <c r="M27" s="126"/>
      <c r="N27" s="126"/>
      <c r="O27" s="134"/>
      <c r="Q27" s="20"/>
    </row>
    <row r="28" spans="2:26" ht="17.25" thickBot="1" x14ac:dyDescent="0.3">
      <c r="B28" s="137" t="s">
        <v>75</v>
      </c>
      <c r="C28" s="138">
        <v>0</v>
      </c>
      <c r="D28" s="138">
        <v>0</v>
      </c>
      <c r="E28" s="138"/>
      <c r="F28" s="138"/>
      <c r="G28" s="138"/>
      <c r="H28" s="138">
        <f>+H12-H14</f>
        <v>944</v>
      </c>
      <c r="I28" s="138"/>
      <c r="J28" s="138">
        <f>+J12-J14</f>
        <v>-0.39052112375793513</v>
      </c>
      <c r="K28" s="138"/>
      <c r="L28" s="138">
        <f>+L12-L14</f>
        <v>0</v>
      </c>
      <c r="M28" s="138"/>
      <c r="N28" s="138">
        <f>+N12-N14</f>
        <v>1482</v>
      </c>
      <c r="O28" s="139"/>
      <c r="Q28" s="20"/>
    </row>
    <row r="29" spans="2:26" x14ac:dyDescent="0.25">
      <c r="B29" s="20"/>
      <c r="C29" s="70"/>
      <c r="D29" s="70"/>
      <c r="E29" s="20"/>
      <c r="F29" s="20"/>
      <c r="G29" s="20"/>
      <c r="H29" s="20"/>
      <c r="I29" s="20"/>
      <c r="J29" s="66"/>
      <c r="K29" s="67"/>
      <c r="M29" s="67"/>
      <c r="N29" s="67"/>
      <c r="O29" s="20"/>
      <c r="W29" s="38">
        <v>31885605</v>
      </c>
    </row>
    <row r="30" spans="2:26" x14ac:dyDescent="0.25">
      <c r="F30" s="20"/>
      <c r="H30" s="20">
        <f>+D14-H14</f>
        <v>-2271</v>
      </c>
    </row>
    <row r="31" spans="2:26" x14ac:dyDescent="0.25">
      <c r="F31" s="20">
        <f>9291-2400</f>
        <v>6891</v>
      </c>
      <c r="H31" s="20">
        <f>2085-944</f>
        <v>1141</v>
      </c>
    </row>
    <row r="32" spans="2:26" x14ac:dyDescent="0.25">
      <c r="F32" s="20"/>
      <c r="H32" s="38">
        <v>31629960</v>
      </c>
      <c r="W32" s="20"/>
    </row>
    <row r="33" spans="8:8" x14ac:dyDescent="0.25">
      <c r="H33">
        <v>31630</v>
      </c>
    </row>
    <row r="34" spans="8:8" x14ac:dyDescent="0.25">
      <c r="H34" s="38">
        <f>+H33-N18-N22</f>
        <v>3788</v>
      </c>
    </row>
    <row r="35" spans="8:8" x14ac:dyDescent="0.25">
      <c r="H35" s="38"/>
    </row>
    <row r="36" spans="8:8" x14ac:dyDescent="0.25">
      <c r="H36" s="39"/>
    </row>
    <row r="39" spans="8:8" x14ac:dyDescent="0.25">
      <c r="H39" s="39"/>
    </row>
    <row r="40" spans="8:8" x14ac:dyDescent="0.25">
      <c r="H40" s="39"/>
    </row>
  </sheetData>
  <mergeCells count="7">
    <mergeCell ref="N4:O5"/>
    <mergeCell ref="B4:B5"/>
    <mergeCell ref="C4:E4"/>
    <mergeCell ref="F4:G5"/>
    <mergeCell ref="H4:I5"/>
    <mergeCell ref="J4:K5"/>
    <mergeCell ref="L4:M5"/>
  </mergeCells>
  <pageMargins left="0.7" right="0.7" top="0.75" bottom="0.75" header="0.3" footer="0.3"/>
  <pageSetup orientation="landscape" r:id="rId1"/>
  <ignoredErrors>
    <ignoredError sqref="E18 I18 E9 E12 I22 I25 I14 N14 E22 E25 G14 G9" formula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3:AA33"/>
  <sheetViews>
    <sheetView showGridLines="0" topLeftCell="B3" zoomScale="80" zoomScaleNormal="80" workbookViewId="0">
      <pane xSplit="1" ySplit="3" topLeftCell="C8" activePane="bottomRight" state="frozen"/>
      <selection activeCell="B3" sqref="B3"/>
      <selection pane="topRight" activeCell="C3" sqref="C3"/>
      <selection pane="bottomLeft" activeCell="B6" sqref="B6"/>
      <selection pane="bottomRight" activeCell="H21" sqref="H21"/>
    </sheetView>
  </sheetViews>
  <sheetFormatPr baseColWidth="10" defaultRowHeight="15" x14ac:dyDescent="0.25"/>
  <cols>
    <col min="2" max="2" width="35.28515625" customWidth="1"/>
    <col min="3" max="3" width="11.85546875" bestFit="1" customWidth="1"/>
    <col min="4" max="4" width="12.85546875" customWidth="1"/>
    <col min="5" max="5" width="7.85546875" customWidth="1"/>
    <col min="6" max="6" width="10" customWidth="1"/>
    <col min="7" max="7" width="7.28515625" bestFit="1" customWidth="1"/>
    <col min="8" max="8" width="8.28515625" bestFit="1" customWidth="1"/>
    <col min="9" max="9" width="7.28515625" bestFit="1" customWidth="1"/>
    <col min="10" max="10" width="9.85546875" style="40" bestFit="1" customWidth="1"/>
    <col min="11" max="11" width="7.28515625" style="36" bestFit="1" customWidth="1"/>
    <col min="12" max="12" width="9.85546875" style="20" bestFit="1" customWidth="1"/>
    <col min="13" max="13" width="7.28515625" style="36" bestFit="1" customWidth="1"/>
    <col min="14" max="14" width="10.28515625" style="36" hidden="1" customWidth="1"/>
    <col min="15" max="15" width="7.5703125" hidden="1" customWidth="1"/>
    <col min="16" max="16" width="13.5703125" bestFit="1" customWidth="1"/>
    <col min="18" max="18" width="0" hidden="1" customWidth="1"/>
    <col min="19" max="19" width="13.7109375" hidden="1" customWidth="1"/>
    <col min="20" max="22" width="0" hidden="1" customWidth="1"/>
    <col min="26" max="26" width="14.85546875" customWidth="1"/>
    <col min="27" max="27" width="13" bestFit="1" customWidth="1"/>
    <col min="263" max="263" width="37.42578125" bestFit="1" customWidth="1"/>
    <col min="264" max="264" width="13.85546875" bestFit="1" customWidth="1"/>
    <col min="265" max="265" width="13.42578125" customWidth="1"/>
    <col min="266" max="266" width="7.85546875" bestFit="1" customWidth="1"/>
    <col min="267" max="267" width="13.28515625" customWidth="1"/>
    <col min="268" max="268" width="7.7109375" bestFit="1" customWidth="1"/>
    <col min="269" max="269" width="14.7109375" customWidth="1"/>
    <col min="270" max="270" width="7.85546875" bestFit="1" customWidth="1"/>
    <col min="519" max="519" width="37.42578125" bestFit="1" customWidth="1"/>
    <col min="520" max="520" width="13.85546875" bestFit="1" customWidth="1"/>
    <col min="521" max="521" width="13.42578125" customWidth="1"/>
    <col min="522" max="522" width="7.85546875" bestFit="1" customWidth="1"/>
    <col min="523" max="523" width="13.28515625" customWidth="1"/>
    <col min="524" max="524" width="7.7109375" bestFit="1" customWidth="1"/>
    <col min="525" max="525" width="14.7109375" customWidth="1"/>
    <col min="526" max="526" width="7.85546875" bestFit="1" customWidth="1"/>
    <col min="775" max="775" width="37.42578125" bestFit="1" customWidth="1"/>
    <col min="776" max="776" width="13.85546875" bestFit="1" customWidth="1"/>
    <col min="777" max="777" width="13.42578125" customWidth="1"/>
    <col min="778" max="778" width="7.85546875" bestFit="1" customWidth="1"/>
    <col min="779" max="779" width="13.28515625" customWidth="1"/>
    <col min="780" max="780" width="7.7109375" bestFit="1" customWidth="1"/>
    <col min="781" max="781" width="14.7109375" customWidth="1"/>
    <col min="782" max="782" width="7.85546875" bestFit="1" customWidth="1"/>
    <col min="1031" max="1031" width="37.42578125" bestFit="1" customWidth="1"/>
    <col min="1032" max="1032" width="13.85546875" bestFit="1" customWidth="1"/>
    <col min="1033" max="1033" width="13.42578125" customWidth="1"/>
    <col min="1034" max="1034" width="7.85546875" bestFit="1" customWidth="1"/>
    <col min="1035" max="1035" width="13.28515625" customWidth="1"/>
    <col min="1036" max="1036" width="7.7109375" bestFit="1" customWidth="1"/>
    <col min="1037" max="1037" width="14.7109375" customWidth="1"/>
    <col min="1038" max="1038" width="7.85546875" bestFit="1" customWidth="1"/>
    <col min="1287" max="1287" width="37.42578125" bestFit="1" customWidth="1"/>
    <col min="1288" max="1288" width="13.85546875" bestFit="1" customWidth="1"/>
    <col min="1289" max="1289" width="13.42578125" customWidth="1"/>
    <col min="1290" max="1290" width="7.85546875" bestFit="1" customWidth="1"/>
    <col min="1291" max="1291" width="13.28515625" customWidth="1"/>
    <col min="1292" max="1292" width="7.7109375" bestFit="1" customWidth="1"/>
    <col min="1293" max="1293" width="14.7109375" customWidth="1"/>
    <col min="1294" max="1294" width="7.85546875" bestFit="1" customWidth="1"/>
    <col min="1543" max="1543" width="37.42578125" bestFit="1" customWidth="1"/>
    <col min="1544" max="1544" width="13.85546875" bestFit="1" customWidth="1"/>
    <col min="1545" max="1545" width="13.42578125" customWidth="1"/>
    <col min="1546" max="1546" width="7.85546875" bestFit="1" customWidth="1"/>
    <col min="1547" max="1547" width="13.28515625" customWidth="1"/>
    <col min="1548" max="1548" width="7.7109375" bestFit="1" customWidth="1"/>
    <col min="1549" max="1549" width="14.7109375" customWidth="1"/>
    <col min="1550" max="1550" width="7.85546875" bestFit="1" customWidth="1"/>
    <col min="1799" max="1799" width="37.42578125" bestFit="1" customWidth="1"/>
    <col min="1800" max="1800" width="13.85546875" bestFit="1" customWidth="1"/>
    <col min="1801" max="1801" width="13.42578125" customWidth="1"/>
    <col min="1802" max="1802" width="7.85546875" bestFit="1" customWidth="1"/>
    <col min="1803" max="1803" width="13.28515625" customWidth="1"/>
    <col min="1804" max="1804" width="7.7109375" bestFit="1" customWidth="1"/>
    <col min="1805" max="1805" width="14.7109375" customWidth="1"/>
    <col min="1806" max="1806" width="7.85546875" bestFit="1" customWidth="1"/>
    <col min="2055" max="2055" width="37.42578125" bestFit="1" customWidth="1"/>
    <col min="2056" max="2056" width="13.85546875" bestFit="1" customWidth="1"/>
    <col min="2057" max="2057" width="13.42578125" customWidth="1"/>
    <col min="2058" max="2058" width="7.85546875" bestFit="1" customWidth="1"/>
    <col min="2059" max="2059" width="13.28515625" customWidth="1"/>
    <col min="2060" max="2060" width="7.7109375" bestFit="1" customWidth="1"/>
    <col min="2061" max="2061" width="14.7109375" customWidth="1"/>
    <col min="2062" max="2062" width="7.85546875" bestFit="1" customWidth="1"/>
    <col min="2311" max="2311" width="37.42578125" bestFit="1" customWidth="1"/>
    <col min="2312" max="2312" width="13.85546875" bestFit="1" customWidth="1"/>
    <col min="2313" max="2313" width="13.42578125" customWidth="1"/>
    <col min="2314" max="2314" width="7.85546875" bestFit="1" customWidth="1"/>
    <col min="2315" max="2315" width="13.28515625" customWidth="1"/>
    <col min="2316" max="2316" width="7.7109375" bestFit="1" customWidth="1"/>
    <col min="2317" max="2317" width="14.7109375" customWidth="1"/>
    <col min="2318" max="2318" width="7.85546875" bestFit="1" customWidth="1"/>
    <col min="2567" max="2567" width="37.42578125" bestFit="1" customWidth="1"/>
    <col min="2568" max="2568" width="13.85546875" bestFit="1" customWidth="1"/>
    <col min="2569" max="2569" width="13.42578125" customWidth="1"/>
    <col min="2570" max="2570" width="7.85546875" bestFit="1" customWidth="1"/>
    <col min="2571" max="2571" width="13.28515625" customWidth="1"/>
    <col min="2572" max="2572" width="7.7109375" bestFit="1" customWidth="1"/>
    <col min="2573" max="2573" width="14.7109375" customWidth="1"/>
    <col min="2574" max="2574" width="7.85546875" bestFit="1" customWidth="1"/>
    <col min="2823" max="2823" width="37.42578125" bestFit="1" customWidth="1"/>
    <col min="2824" max="2824" width="13.85546875" bestFit="1" customWidth="1"/>
    <col min="2825" max="2825" width="13.42578125" customWidth="1"/>
    <col min="2826" max="2826" width="7.85546875" bestFit="1" customWidth="1"/>
    <col min="2827" max="2827" width="13.28515625" customWidth="1"/>
    <col min="2828" max="2828" width="7.7109375" bestFit="1" customWidth="1"/>
    <col min="2829" max="2829" width="14.7109375" customWidth="1"/>
    <col min="2830" max="2830" width="7.85546875" bestFit="1" customWidth="1"/>
    <col min="3079" max="3079" width="37.42578125" bestFit="1" customWidth="1"/>
    <col min="3080" max="3080" width="13.85546875" bestFit="1" customWidth="1"/>
    <col min="3081" max="3081" width="13.42578125" customWidth="1"/>
    <col min="3082" max="3082" width="7.85546875" bestFit="1" customWidth="1"/>
    <col min="3083" max="3083" width="13.28515625" customWidth="1"/>
    <col min="3084" max="3084" width="7.7109375" bestFit="1" customWidth="1"/>
    <col min="3085" max="3085" width="14.7109375" customWidth="1"/>
    <col min="3086" max="3086" width="7.85546875" bestFit="1" customWidth="1"/>
    <col min="3335" max="3335" width="37.42578125" bestFit="1" customWidth="1"/>
    <col min="3336" max="3336" width="13.85546875" bestFit="1" customWidth="1"/>
    <col min="3337" max="3337" width="13.42578125" customWidth="1"/>
    <col min="3338" max="3338" width="7.85546875" bestFit="1" customWidth="1"/>
    <col min="3339" max="3339" width="13.28515625" customWidth="1"/>
    <col min="3340" max="3340" width="7.7109375" bestFit="1" customWidth="1"/>
    <col min="3341" max="3341" width="14.7109375" customWidth="1"/>
    <col min="3342" max="3342" width="7.85546875" bestFit="1" customWidth="1"/>
    <col min="3591" max="3591" width="37.42578125" bestFit="1" customWidth="1"/>
    <col min="3592" max="3592" width="13.85546875" bestFit="1" customWidth="1"/>
    <col min="3593" max="3593" width="13.42578125" customWidth="1"/>
    <col min="3594" max="3594" width="7.85546875" bestFit="1" customWidth="1"/>
    <col min="3595" max="3595" width="13.28515625" customWidth="1"/>
    <col min="3596" max="3596" width="7.7109375" bestFit="1" customWidth="1"/>
    <col min="3597" max="3597" width="14.7109375" customWidth="1"/>
    <col min="3598" max="3598" width="7.85546875" bestFit="1" customWidth="1"/>
    <col min="3847" max="3847" width="37.42578125" bestFit="1" customWidth="1"/>
    <col min="3848" max="3848" width="13.85546875" bestFit="1" customWidth="1"/>
    <col min="3849" max="3849" width="13.42578125" customWidth="1"/>
    <col min="3850" max="3850" width="7.85546875" bestFit="1" customWidth="1"/>
    <col min="3851" max="3851" width="13.28515625" customWidth="1"/>
    <col min="3852" max="3852" width="7.7109375" bestFit="1" customWidth="1"/>
    <col min="3853" max="3853" width="14.7109375" customWidth="1"/>
    <col min="3854" max="3854" width="7.85546875" bestFit="1" customWidth="1"/>
    <col min="4103" max="4103" width="37.42578125" bestFit="1" customWidth="1"/>
    <col min="4104" max="4104" width="13.85546875" bestFit="1" customWidth="1"/>
    <col min="4105" max="4105" width="13.42578125" customWidth="1"/>
    <col min="4106" max="4106" width="7.85546875" bestFit="1" customWidth="1"/>
    <col min="4107" max="4107" width="13.28515625" customWidth="1"/>
    <col min="4108" max="4108" width="7.7109375" bestFit="1" customWidth="1"/>
    <col min="4109" max="4109" width="14.7109375" customWidth="1"/>
    <col min="4110" max="4110" width="7.85546875" bestFit="1" customWidth="1"/>
    <col min="4359" max="4359" width="37.42578125" bestFit="1" customWidth="1"/>
    <col min="4360" max="4360" width="13.85546875" bestFit="1" customWidth="1"/>
    <col min="4361" max="4361" width="13.42578125" customWidth="1"/>
    <col min="4362" max="4362" width="7.85546875" bestFit="1" customWidth="1"/>
    <col min="4363" max="4363" width="13.28515625" customWidth="1"/>
    <col min="4364" max="4364" width="7.7109375" bestFit="1" customWidth="1"/>
    <col min="4365" max="4365" width="14.7109375" customWidth="1"/>
    <col min="4366" max="4366" width="7.85546875" bestFit="1" customWidth="1"/>
    <col min="4615" max="4615" width="37.42578125" bestFit="1" customWidth="1"/>
    <col min="4616" max="4616" width="13.85546875" bestFit="1" customWidth="1"/>
    <col min="4617" max="4617" width="13.42578125" customWidth="1"/>
    <col min="4618" max="4618" width="7.85546875" bestFit="1" customWidth="1"/>
    <col min="4619" max="4619" width="13.28515625" customWidth="1"/>
    <col min="4620" max="4620" width="7.7109375" bestFit="1" customWidth="1"/>
    <col min="4621" max="4621" width="14.7109375" customWidth="1"/>
    <col min="4622" max="4622" width="7.85546875" bestFit="1" customWidth="1"/>
    <col min="4871" max="4871" width="37.42578125" bestFit="1" customWidth="1"/>
    <col min="4872" max="4872" width="13.85546875" bestFit="1" customWidth="1"/>
    <col min="4873" max="4873" width="13.42578125" customWidth="1"/>
    <col min="4874" max="4874" width="7.85546875" bestFit="1" customWidth="1"/>
    <col min="4875" max="4875" width="13.28515625" customWidth="1"/>
    <col min="4876" max="4876" width="7.7109375" bestFit="1" customWidth="1"/>
    <col min="4877" max="4877" width="14.7109375" customWidth="1"/>
    <col min="4878" max="4878" width="7.85546875" bestFit="1" customWidth="1"/>
    <col min="5127" max="5127" width="37.42578125" bestFit="1" customWidth="1"/>
    <col min="5128" max="5128" width="13.85546875" bestFit="1" customWidth="1"/>
    <col min="5129" max="5129" width="13.42578125" customWidth="1"/>
    <col min="5130" max="5130" width="7.85546875" bestFit="1" customWidth="1"/>
    <col min="5131" max="5131" width="13.28515625" customWidth="1"/>
    <col min="5132" max="5132" width="7.7109375" bestFit="1" customWidth="1"/>
    <col min="5133" max="5133" width="14.7109375" customWidth="1"/>
    <col min="5134" max="5134" width="7.85546875" bestFit="1" customWidth="1"/>
    <col min="5383" max="5383" width="37.42578125" bestFit="1" customWidth="1"/>
    <col min="5384" max="5384" width="13.85546875" bestFit="1" customWidth="1"/>
    <col min="5385" max="5385" width="13.42578125" customWidth="1"/>
    <col min="5386" max="5386" width="7.85546875" bestFit="1" customWidth="1"/>
    <col min="5387" max="5387" width="13.28515625" customWidth="1"/>
    <col min="5388" max="5388" width="7.7109375" bestFit="1" customWidth="1"/>
    <col min="5389" max="5389" width="14.7109375" customWidth="1"/>
    <col min="5390" max="5390" width="7.85546875" bestFit="1" customWidth="1"/>
    <col min="5639" max="5639" width="37.42578125" bestFit="1" customWidth="1"/>
    <col min="5640" max="5640" width="13.85546875" bestFit="1" customWidth="1"/>
    <col min="5641" max="5641" width="13.42578125" customWidth="1"/>
    <col min="5642" max="5642" width="7.85546875" bestFit="1" customWidth="1"/>
    <col min="5643" max="5643" width="13.28515625" customWidth="1"/>
    <col min="5644" max="5644" width="7.7109375" bestFit="1" customWidth="1"/>
    <col min="5645" max="5645" width="14.7109375" customWidth="1"/>
    <col min="5646" max="5646" width="7.85546875" bestFit="1" customWidth="1"/>
    <col min="5895" max="5895" width="37.42578125" bestFit="1" customWidth="1"/>
    <col min="5896" max="5896" width="13.85546875" bestFit="1" customWidth="1"/>
    <col min="5897" max="5897" width="13.42578125" customWidth="1"/>
    <col min="5898" max="5898" width="7.85546875" bestFit="1" customWidth="1"/>
    <col min="5899" max="5899" width="13.28515625" customWidth="1"/>
    <col min="5900" max="5900" width="7.7109375" bestFit="1" customWidth="1"/>
    <col min="5901" max="5901" width="14.7109375" customWidth="1"/>
    <col min="5902" max="5902" width="7.85546875" bestFit="1" customWidth="1"/>
    <col min="6151" max="6151" width="37.42578125" bestFit="1" customWidth="1"/>
    <col min="6152" max="6152" width="13.85546875" bestFit="1" customWidth="1"/>
    <col min="6153" max="6153" width="13.42578125" customWidth="1"/>
    <col min="6154" max="6154" width="7.85546875" bestFit="1" customWidth="1"/>
    <col min="6155" max="6155" width="13.28515625" customWidth="1"/>
    <col min="6156" max="6156" width="7.7109375" bestFit="1" customWidth="1"/>
    <col min="6157" max="6157" width="14.7109375" customWidth="1"/>
    <col min="6158" max="6158" width="7.85546875" bestFit="1" customWidth="1"/>
    <col min="6407" max="6407" width="37.42578125" bestFit="1" customWidth="1"/>
    <col min="6408" max="6408" width="13.85546875" bestFit="1" customWidth="1"/>
    <col min="6409" max="6409" width="13.42578125" customWidth="1"/>
    <col min="6410" max="6410" width="7.85546875" bestFit="1" customWidth="1"/>
    <col min="6411" max="6411" width="13.28515625" customWidth="1"/>
    <col min="6412" max="6412" width="7.7109375" bestFit="1" customWidth="1"/>
    <col min="6413" max="6413" width="14.7109375" customWidth="1"/>
    <col min="6414" max="6414" width="7.85546875" bestFit="1" customWidth="1"/>
    <col min="6663" max="6663" width="37.42578125" bestFit="1" customWidth="1"/>
    <col min="6664" max="6664" width="13.85546875" bestFit="1" customWidth="1"/>
    <col min="6665" max="6665" width="13.42578125" customWidth="1"/>
    <col min="6666" max="6666" width="7.85546875" bestFit="1" customWidth="1"/>
    <col min="6667" max="6667" width="13.28515625" customWidth="1"/>
    <col min="6668" max="6668" width="7.7109375" bestFit="1" customWidth="1"/>
    <col min="6669" max="6669" width="14.7109375" customWidth="1"/>
    <col min="6670" max="6670" width="7.85546875" bestFit="1" customWidth="1"/>
    <col min="6919" max="6919" width="37.42578125" bestFit="1" customWidth="1"/>
    <col min="6920" max="6920" width="13.85546875" bestFit="1" customWidth="1"/>
    <col min="6921" max="6921" width="13.42578125" customWidth="1"/>
    <col min="6922" max="6922" width="7.85546875" bestFit="1" customWidth="1"/>
    <col min="6923" max="6923" width="13.28515625" customWidth="1"/>
    <col min="6924" max="6924" width="7.7109375" bestFit="1" customWidth="1"/>
    <col min="6925" max="6925" width="14.7109375" customWidth="1"/>
    <col min="6926" max="6926" width="7.85546875" bestFit="1" customWidth="1"/>
    <col min="7175" max="7175" width="37.42578125" bestFit="1" customWidth="1"/>
    <col min="7176" max="7176" width="13.85546875" bestFit="1" customWidth="1"/>
    <col min="7177" max="7177" width="13.42578125" customWidth="1"/>
    <col min="7178" max="7178" width="7.85546875" bestFit="1" customWidth="1"/>
    <col min="7179" max="7179" width="13.28515625" customWidth="1"/>
    <col min="7180" max="7180" width="7.7109375" bestFit="1" customWidth="1"/>
    <col min="7181" max="7181" width="14.7109375" customWidth="1"/>
    <col min="7182" max="7182" width="7.85546875" bestFit="1" customWidth="1"/>
    <col min="7431" max="7431" width="37.42578125" bestFit="1" customWidth="1"/>
    <col min="7432" max="7432" width="13.85546875" bestFit="1" customWidth="1"/>
    <col min="7433" max="7433" width="13.42578125" customWidth="1"/>
    <col min="7434" max="7434" width="7.85546875" bestFit="1" customWidth="1"/>
    <col min="7435" max="7435" width="13.28515625" customWidth="1"/>
    <col min="7436" max="7436" width="7.7109375" bestFit="1" customWidth="1"/>
    <col min="7437" max="7437" width="14.7109375" customWidth="1"/>
    <col min="7438" max="7438" width="7.85546875" bestFit="1" customWidth="1"/>
    <col min="7687" max="7687" width="37.42578125" bestFit="1" customWidth="1"/>
    <col min="7688" max="7688" width="13.85546875" bestFit="1" customWidth="1"/>
    <col min="7689" max="7689" width="13.42578125" customWidth="1"/>
    <col min="7690" max="7690" width="7.85546875" bestFit="1" customWidth="1"/>
    <col min="7691" max="7691" width="13.28515625" customWidth="1"/>
    <col min="7692" max="7692" width="7.7109375" bestFit="1" customWidth="1"/>
    <col min="7693" max="7693" width="14.7109375" customWidth="1"/>
    <col min="7694" max="7694" width="7.85546875" bestFit="1" customWidth="1"/>
    <col min="7943" max="7943" width="37.42578125" bestFit="1" customWidth="1"/>
    <col min="7944" max="7944" width="13.85546875" bestFit="1" customWidth="1"/>
    <col min="7945" max="7945" width="13.42578125" customWidth="1"/>
    <col min="7946" max="7946" width="7.85546875" bestFit="1" customWidth="1"/>
    <col min="7947" max="7947" width="13.28515625" customWidth="1"/>
    <col min="7948" max="7948" width="7.7109375" bestFit="1" customWidth="1"/>
    <col min="7949" max="7949" width="14.7109375" customWidth="1"/>
    <col min="7950" max="7950" width="7.85546875" bestFit="1" customWidth="1"/>
    <col min="8199" max="8199" width="37.42578125" bestFit="1" customWidth="1"/>
    <col min="8200" max="8200" width="13.85546875" bestFit="1" customWidth="1"/>
    <col min="8201" max="8201" width="13.42578125" customWidth="1"/>
    <col min="8202" max="8202" width="7.85546875" bestFit="1" customWidth="1"/>
    <col min="8203" max="8203" width="13.28515625" customWidth="1"/>
    <col min="8204" max="8204" width="7.7109375" bestFit="1" customWidth="1"/>
    <col min="8205" max="8205" width="14.7109375" customWidth="1"/>
    <col min="8206" max="8206" width="7.85546875" bestFit="1" customWidth="1"/>
    <col min="8455" max="8455" width="37.42578125" bestFit="1" customWidth="1"/>
    <col min="8456" max="8456" width="13.85546875" bestFit="1" customWidth="1"/>
    <col min="8457" max="8457" width="13.42578125" customWidth="1"/>
    <col min="8458" max="8458" width="7.85546875" bestFit="1" customWidth="1"/>
    <col min="8459" max="8459" width="13.28515625" customWidth="1"/>
    <col min="8460" max="8460" width="7.7109375" bestFit="1" customWidth="1"/>
    <col min="8461" max="8461" width="14.7109375" customWidth="1"/>
    <col min="8462" max="8462" width="7.85546875" bestFit="1" customWidth="1"/>
    <col min="8711" max="8711" width="37.42578125" bestFit="1" customWidth="1"/>
    <col min="8712" max="8712" width="13.85546875" bestFit="1" customWidth="1"/>
    <col min="8713" max="8713" width="13.42578125" customWidth="1"/>
    <col min="8714" max="8714" width="7.85546875" bestFit="1" customWidth="1"/>
    <col min="8715" max="8715" width="13.28515625" customWidth="1"/>
    <col min="8716" max="8716" width="7.7109375" bestFit="1" customWidth="1"/>
    <col min="8717" max="8717" width="14.7109375" customWidth="1"/>
    <col min="8718" max="8718" width="7.85546875" bestFit="1" customWidth="1"/>
    <col min="8967" max="8967" width="37.42578125" bestFit="1" customWidth="1"/>
    <col min="8968" max="8968" width="13.85546875" bestFit="1" customWidth="1"/>
    <col min="8969" max="8969" width="13.42578125" customWidth="1"/>
    <col min="8970" max="8970" width="7.85546875" bestFit="1" customWidth="1"/>
    <col min="8971" max="8971" width="13.28515625" customWidth="1"/>
    <col min="8972" max="8972" width="7.7109375" bestFit="1" customWidth="1"/>
    <col min="8973" max="8973" width="14.7109375" customWidth="1"/>
    <col min="8974" max="8974" width="7.85546875" bestFit="1" customWidth="1"/>
    <col min="9223" max="9223" width="37.42578125" bestFit="1" customWidth="1"/>
    <col min="9224" max="9224" width="13.85546875" bestFit="1" customWidth="1"/>
    <col min="9225" max="9225" width="13.42578125" customWidth="1"/>
    <col min="9226" max="9226" width="7.85546875" bestFit="1" customWidth="1"/>
    <col min="9227" max="9227" width="13.28515625" customWidth="1"/>
    <col min="9228" max="9228" width="7.7109375" bestFit="1" customWidth="1"/>
    <col min="9229" max="9229" width="14.7109375" customWidth="1"/>
    <col min="9230" max="9230" width="7.85546875" bestFit="1" customWidth="1"/>
    <col min="9479" max="9479" width="37.42578125" bestFit="1" customWidth="1"/>
    <col min="9480" max="9480" width="13.85546875" bestFit="1" customWidth="1"/>
    <col min="9481" max="9481" width="13.42578125" customWidth="1"/>
    <col min="9482" max="9482" width="7.85546875" bestFit="1" customWidth="1"/>
    <col min="9483" max="9483" width="13.28515625" customWidth="1"/>
    <col min="9484" max="9484" width="7.7109375" bestFit="1" customWidth="1"/>
    <col min="9485" max="9485" width="14.7109375" customWidth="1"/>
    <col min="9486" max="9486" width="7.85546875" bestFit="1" customWidth="1"/>
    <col min="9735" max="9735" width="37.42578125" bestFit="1" customWidth="1"/>
    <col min="9736" max="9736" width="13.85546875" bestFit="1" customWidth="1"/>
    <col min="9737" max="9737" width="13.42578125" customWidth="1"/>
    <col min="9738" max="9738" width="7.85546875" bestFit="1" customWidth="1"/>
    <col min="9739" max="9739" width="13.28515625" customWidth="1"/>
    <col min="9740" max="9740" width="7.7109375" bestFit="1" customWidth="1"/>
    <col min="9741" max="9741" width="14.7109375" customWidth="1"/>
    <col min="9742" max="9742" width="7.85546875" bestFit="1" customWidth="1"/>
    <col min="9991" max="9991" width="37.42578125" bestFit="1" customWidth="1"/>
    <col min="9992" max="9992" width="13.85546875" bestFit="1" customWidth="1"/>
    <col min="9993" max="9993" width="13.42578125" customWidth="1"/>
    <col min="9994" max="9994" width="7.85546875" bestFit="1" customWidth="1"/>
    <col min="9995" max="9995" width="13.28515625" customWidth="1"/>
    <col min="9996" max="9996" width="7.7109375" bestFit="1" customWidth="1"/>
    <col min="9997" max="9997" width="14.7109375" customWidth="1"/>
    <col min="9998" max="9998" width="7.85546875" bestFit="1" customWidth="1"/>
    <col min="10247" max="10247" width="37.42578125" bestFit="1" customWidth="1"/>
    <col min="10248" max="10248" width="13.85546875" bestFit="1" customWidth="1"/>
    <col min="10249" max="10249" width="13.42578125" customWidth="1"/>
    <col min="10250" max="10250" width="7.85546875" bestFit="1" customWidth="1"/>
    <col min="10251" max="10251" width="13.28515625" customWidth="1"/>
    <col min="10252" max="10252" width="7.7109375" bestFit="1" customWidth="1"/>
    <col min="10253" max="10253" width="14.7109375" customWidth="1"/>
    <col min="10254" max="10254" width="7.85546875" bestFit="1" customWidth="1"/>
    <col min="10503" max="10503" width="37.42578125" bestFit="1" customWidth="1"/>
    <col min="10504" max="10504" width="13.85546875" bestFit="1" customWidth="1"/>
    <col min="10505" max="10505" width="13.42578125" customWidth="1"/>
    <col min="10506" max="10506" width="7.85546875" bestFit="1" customWidth="1"/>
    <col min="10507" max="10507" width="13.28515625" customWidth="1"/>
    <col min="10508" max="10508" width="7.7109375" bestFit="1" customWidth="1"/>
    <col min="10509" max="10509" width="14.7109375" customWidth="1"/>
    <col min="10510" max="10510" width="7.85546875" bestFit="1" customWidth="1"/>
    <col min="10759" max="10759" width="37.42578125" bestFit="1" customWidth="1"/>
    <col min="10760" max="10760" width="13.85546875" bestFit="1" customWidth="1"/>
    <col min="10761" max="10761" width="13.42578125" customWidth="1"/>
    <col min="10762" max="10762" width="7.85546875" bestFit="1" customWidth="1"/>
    <col min="10763" max="10763" width="13.28515625" customWidth="1"/>
    <col min="10764" max="10764" width="7.7109375" bestFit="1" customWidth="1"/>
    <col min="10765" max="10765" width="14.7109375" customWidth="1"/>
    <col min="10766" max="10766" width="7.85546875" bestFit="1" customWidth="1"/>
    <col min="11015" max="11015" width="37.42578125" bestFit="1" customWidth="1"/>
    <col min="11016" max="11016" width="13.85546875" bestFit="1" customWidth="1"/>
    <col min="11017" max="11017" width="13.42578125" customWidth="1"/>
    <col min="11018" max="11018" width="7.85546875" bestFit="1" customWidth="1"/>
    <col min="11019" max="11019" width="13.28515625" customWidth="1"/>
    <col min="11020" max="11020" width="7.7109375" bestFit="1" customWidth="1"/>
    <col min="11021" max="11021" width="14.7109375" customWidth="1"/>
    <col min="11022" max="11022" width="7.85546875" bestFit="1" customWidth="1"/>
    <col min="11271" max="11271" width="37.42578125" bestFit="1" customWidth="1"/>
    <col min="11272" max="11272" width="13.85546875" bestFit="1" customWidth="1"/>
    <col min="11273" max="11273" width="13.42578125" customWidth="1"/>
    <col min="11274" max="11274" width="7.85546875" bestFit="1" customWidth="1"/>
    <col min="11275" max="11275" width="13.28515625" customWidth="1"/>
    <col min="11276" max="11276" width="7.7109375" bestFit="1" customWidth="1"/>
    <col min="11277" max="11277" width="14.7109375" customWidth="1"/>
    <col min="11278" max="11278" width="7.85546875" bestFit="1" customWidth="1"/>
    <col min="11527" max="11527" width="37.42578125" bestFit="1" customWidth="1"/>
    <col min="11528" max="11528" width="13.85546875" bestFit="1" customWidth="1"/>
    <col min="11529" max="11529" width="13.42578125" customWidth="1"/>
    <col min="11530" max="11530" width="7.85546875" bestFit="1" customWidth="1"/>
    <col min="11531" max="11531" width="13.28515625" customWidth="1"/>
    <col min="11532" max="11532" width="7.7109375" bestFit="1" customWidth="1"/>
    <col min="11533" max="11533" width="14.7109375" customWidth="1"/>
    <col min="11534" max="11534" width="7.85546875" bestFit="1" customWidth="1"/>
    <col min="11783" max="11783" width="37.42578125" bestFit="1" customWidth="1"/>
    <col min="11784" max="11784" width="13.85546875" bestFit="1" customWidth="1"/>
    <col min="11785" max="11785" width="13.42578125" customWidth="1"/>
    <col min="11786" max="11786" width="7.85546875" bestFit="1" customWidth="1"/>
    <col min="11787" max="11787" width="13.28515625" customWidth="1"/>
    <col min="11788" max="11788" width="7.7109375" bestFit="1" customWidth="1"/>
    <col min="11789" max="11789" width="14.7109375" customWidth="1"/>
    <col min="11790" max="11790" width="7.85546875" bestFit="1" customWidth="1"/>
    <col min="12039" max="12039" width="37.42578125" bestFit="1" customWidth="1"/>
    <col min="12040" max="12040" width="13.85546875" bestFit="1" customWidth="1"/>
    <col min="12041" max="12041" width="13.42578125" customWidth="1"/>
    <col min="12042" max="12042" width="7.85546875" bestFit="1" customWidth="1"/>
    <col min="12043" max="12043" width="13.28515625" customWidth="1"/>
    <col min="12044" max="12044" width="7.7109375" bestFit="1" customWidth="1"/>
    <col min="12045" max="12045" width="14.7109375" customWidth="1"/>
    <col min="12046" max="12046" width="7.85546875" bestFit="1" customWidth="1"/>
    <col min="12295" max="12295" width="37.42578125" bestFit="1" customWidth="1"/>
    <col min="12296" max="12296" width="13.85546875" bestFit="1" customWidth="1"/>
    <col min="12297" max="12297" width="13.42578125" customWidth="1"/>
    <col min="12298" max="12298" width="7.85546875" bestFit="1" customWidth="1"/>
    <col min="12299" max="12299" width="13.28515625" customWidth="1"/>
    <col min="12300" max="12300" width="7.7109375" bestFit="1" customWidth="1"/>
    <col min="12301" max="12301" width="14.7109375" customWidth="1"/>
    <col min="12302" max="12302" width="7.85546875" bestFit="1" customWidth="1"/>
    <col min="12551" max="12551" width="37.42578125" bestFit="1" customWidth="1"/>
    <col min="12552" max="12552" width="13.85546875" bestFit="1" customWidth="1"/>
    <col min="12553" max="12553" width="13.42578125" customWidth="1"/>
    <col min="12554" max="12554" width="7.85546875" bestFit="1" customWidth="1"/>
    <col min="12555" max="12555" width="13.28515625" customWidth="1"/>
    <col min="12556" max="12556" width="7.7109375" bestFit="1" customWidth="1"/>
    <col min="12557" max="12557" width="14.7109375" customWidth="1"/>
    <col min="12558" max="12558" width="7.85546875" bestFit="1" customWidth="1"/>
    <col min="12807" max="12807" width="37.42578125" bestFit="1" customWidth="1"/>
    <col min="12808" max="12808" width="13.85546875" bestFit="1" customWidth="1"/>
    <col min="12809" max="12809" width="13.42578125" customWidth="1"/>
    <col min="12810" max="12810" width="7.85546875" bestFit="1" customWidth="1"/>
    <col min="12811" max="12811" width="13.28515625" customWidth="1"/>
    <col min="12812" max="12812" width="7.7109375" bestFit="1" customWidth="1"/>
    <col min="12813" max="12813" width="14.7109375" customWidth="1"/>
    <col min="12814" max="12814" width="7.85546875" bestFit="1" customWidth="1"/>
    <col min="13063" max="13063" width="37.42578125" bestFit="1" customWidth="1"/>
    <col min="13064" max="13064" width="13.85546875" bestFit="1" customWidth="1"/>
    <col min="13065" max="13065" width="13.42578125" customWidth="1"/>
    <col min="13066" max="13066" width="7.85546875" bestFit="1" customWidth="1"/>
    <col min="13067" max="13067" width="13.28515625" customWidth="1"/>
    <col min="13068" max="13068" width="7.7109375" bestFit="1" customWidth="1"/>
    <col min="13069" max="13069" width="14.7109375" customWidth="1"/>
    <col min="13070" max="13070" width="7.85546875" bestFit="1" customWidth="1"/>
    <col min="13319" max="13319" width="37.42578125" bestFit="1" customWidth="1"/>
    <col min="13320" max="13320" width="13.85546875" bestFit="1" customWidth="1"/>
    <col min="13321" max="13321" width="13.42578125" customWidth="1"/>
    <col min="13322" max="13322" width="7.85546875" bestFit="1" customWidth="1"/>
    <col min="13323" max="13323" width="13.28515625" customWidth="1"/>
    <col min="13324" max="13324" width="7.7109375" bestFit="1" customWidth="1"/>
    <col min="13325" max="13325" width="14.7109375" customWidth="1"/>
    <col min="13326" max="13326" width="7.85546875" bestFit="1" customWidth="1"/>
    <col min="13575" max="13575" width="37.42578125" bestFit="1" customWidth="1"/>
    <col min="13576" max="13576" width="13.85546875" bestFit="1" customWidth="1"/>
    <col min="13577" max="13577" width="13.42578125" customWidth="1"/>
    <col min="13578" max="13578" width="7.85546875" bestFit="1" customWidth="1"/>
    <col min="13579" max="13579" width="13.28515625" customWidth="1"/>
    <col min="13580" max="13580" width="7.7109375" bestFit="1" customWidth="1"/>
    <col min="13581" max="13581" width="14.7109375" customWidth="1"/>
    <col min="13582" max="13582" width="7.85546875" bestFit="1" customWidth="1"/>
    <col min="13831" max="13831" width="37.42578125" bestFit="1" customWidth="1"/>
    <col min="13832" max="13832" width="13.85546875" bestFit="1" customWidth="1"/>
    <col min="13833" max="13833" width="13.42578125" customWidth="1"/>
    <col min="13834" max="13834" width="7.85546875" bestFit="1" customWidth="1"/>
    <col min="13835" max="13835" width="13.28515625" customWidth="1"/>
    <col min="13836" max="13836" width="7.7109375" bestFit="1" customWidth="1"/>
    <col min="13837" max="13837" width="14.7109375" customWidth="1"/>
    <col min="13838" max="13838" width="7.85546875" bestFit="1" customWidth="1"/>
    <col min="14087" max="14087" width="37.42578125" bestFit="1" customWidth="1"/>
    <col min="14088" max="14088" width="13.85546875" bestFit="1" customWidth="1"/>
    <col min="14089" max="14089" width="13.42578125" customWidth="1"/>
    <col min="14090" max="14090" width="7.85546875" bestFit="1" customWidth="1"/>
    <col min="14091" max="14091" width="13.28515625" customWidth="1"/>
    <col min="14092" max="14092" width="7.7109375" bestFit="1" customWidth="1"/>
    <col min="14093" max="14093" width="14.7109375" customWidth="1"/>
    <col min="14094" max="14094" width="7.85546875" bestFit="1" customWidth="1"/>
    <col min="14343" max="14343" width="37.42578125" bestFit="1" customWidth="1"/>
    <col min="14344" max="14344" width="13.85546875" bestFit="1" customWidth="1"/>
    <col min="14345" max="14345" width="13.42578125" customWidth="1"/>
    <col min="14346" max="14346" width="7.85546875" bestFit="1" customWidth="1"/>
    <col min="14347" max="14347" width="13.28515625" customWidth="1"/>
    <col min="14348" max="14348" width="7.7109375" bestFit="1" customWidth="1"/>
    <col min="14349" max="14349" width="14.7109375" customWidth="1"/>
    <col min="14350" max="14350" width="7.85546875" bestFit="1" customWidth="1"/>
    <col min="14599" max="14599" width="37.42578125" bestFit="1" customWidth="1"/>
    <col min="14600" max="14600" width="13.85546875" bestFit="1" customWidth="1"/>
    <col min="14601" max="14601" width="13.42578125" customWidth="1"/>
    <col min="14602" max="14602" width="7.85546875" bestFit="1" customWidth="1"/>
    <col min="14603" max="14603" width="13.28515625" customWidth="1"/>
    <col min="14604" max="14604" width="7.7109375" bestFit="1" customWidth="1"/>
    <col min="14605" max="14605" width="14.7109375" customWidth="1"/>
    <col min="14606" max="14606" width="7.85546875" bestFit="1" customWidth="1"/>
    <col min="14855" max="14855" width="37.42578125" bestFit="1" customWidth="1"/>
    <col min="14856" max="14856" width="13.85546875" bestFit="1" customWidth="1"/>
    <col min="14857" max="14857" width="13.42578125" customWidth="1"/>
    <col min="14858" max="14858" width="7.85546875" bestFit="1" customWidth="1"/>
    <col min="14859" max="14859" width="13.28515625" customWidth="1"/>
    <col min="14860" max="14860" width="7.7109375" bestFit="1" customWidth="1"/>
    <col min="14861" max="14861" width="14.7109375" customWidth="1"/>
    <col min="14862" max="14862" width="7.85546875" bestFit="1" customWidth="1"/>
    <col min="15111" max="15111" width="37.42578125" bestFit="1" customWidth="1"/>
    <col min="15112" max="15112" width="13.85546875" bestFit="1" customWidth="1"/>
    <col min="15113" max="15113" width="13.42578125" customWidth="1"/>
    <col min="15114" max="15114" width="7.85546875" bestFit="1" customWidth="1"/>
    <col min="15115" max="15115" width="13.28515625" customWidth="1"/>
    <col min="15116" max="15116" width="7.7109375" bestFit="1" customWidth="1"/>
    <col min="15117" max="15117" width="14.7109375" customWidth="1"/>
    <col min="15118" max="15118" width="7.85546875" bestFit="1" customWidth="1"/>
    <col min="15367" max="15367" width="37.42578125" bestFit="1" customWidth="1"/>
    <col min="15368" max="15368" width="13.85546875" bestFit="1" customWidth="1"/>
    <col min="15369" max="15369" width="13.42578125" customWidth="1"/>
    <col min="15370" max="15370" width="7.85546875" bestFit="1" customWidth="1"/>
    <col min="15371" max="15371" width="13.28515625" customWidth="1"/>
    <col min="15372" max="15372" width="7.7109375" bestFit="1" customWidth="1"/>
    <col min="15373" max="15373" width="14.7109375" customWidth="1"/>
    <col min="15374" max="15374" width="7.85546875" bestFit="1" customWidth="1"/>
    <col min="15623" max="15623" width="37.42578125" bestFit="1" customWidth="1"/>
    <col min="15624" max="15624" width="13.85546875" bestFit="1" customWidth="1"/>
    <col min="15625" max="15625" width="13.42578125" customWidth="1"/>
    <col min="15626" max="15626" width="7.85546875" bestFit="1" customWidth="1"/>
    <col min="15627" max="15627" width="13.28515625" customWidth="1"/>
    <col min="15628" max="15628" width="7.7109375" bestFit="1" customWidth="1"/>
    <col min="15629" max="15629" width="14.7109375" customWidth="1"/>
    <col min="15630" max="15630" width="7.85546875" bestFit="1" customWidth="1"/>
    <col min="15879" max="15879" width="37.42578125" bestFit="1" customWidth="1"/>
    <col min="15880" max="15880" width="13.85546875" bestFit="1" customWidth="1"/>
    <col min="15881" max="15881" width="13.42578125" customWidth="1"/>
    <col min="15882" max="15882" width="7.85546875" bestFit="1" customWidth="1"/>
    <col min="15883" max="15883" width="13.28515625" customWidth="1"/>
    <col min="15884" max="15884" width="7.7109375" bestFit="1" customWidth="1"/>
    <col min="15885" max="15885" width="14.7109375" customWidth="1"/>
    <col min="15886" max="15886" width="7.85546875" bestFit="1" customWidth="1"/>
    <col min="16135" max="16135" width="37.42578125" bestFit="1" customWidth="1"/>
    <col min="16136" max="16136" width="13.85546875" bestFit="1" customWidth="1"/>
    <col min="16137" max="16137" width="13.42578125" customWidth="1"/>
    <col min="16138" max="16138" width="7.85546875" bestFit="1" customWidth="1"/>
    <col min="16139" max="16139" width="13.28515625" customWidth="1"/>
    <col min="16140" max="16140" width="7.7109375" bestFit="1" customWidth="1"/>
    <col min="16141" max="16141" width="14.7109375" customWidth="1"/>
    <col min="16142" max="16142" width="7.85546875" bestFit="1" customWidth="1"/>
  </cols>
  <sheetData>
    <row r="3" spans="2:27" x14ac:dyDescent="0.25">
      <c r="I3" t="s">
        <v>30</v>
      </c>
      <c r="J3" s="40">
        <f>+J12</f>
        <v>25807</v>
      </c>
    </row>
    <row r="4" spans="2:27" ht="26.25" customHeight="1" x14ac:dyDescent="0.25">
      <c r="B4" s="537" t="s">
        <v>0</v>
      </c>
      <c r="C4" s="539" t="s">
        <v>23</v>
      </c>
      <c r="D4" s="539"/>
      <c r="E4" s="539"/>
      <c r="F4" s="475" t="s">
        <v>34</v>
      </c>
      <c r="G4" s="475"/>
      <c r="H4" s="540" t="s">
        <v>24</v>
      </c>
      <c r="I4" s="541"/>
      <c r="J4" s="542" t="s">
        <v>29</v>
      </c>
      <c r="K4" s="543"/>
      <c r="L4" s="544" t="s">
        <v>31</v>
      </c>
      <c r="M4" s="544"/>
      <c r="N4" s="535" t="s">
        <v>32</v>
      </c>
      <c r="O4" s="536"/>
    </row>
    <row r="5" spans="2:27" ht="31.5" customHeight="1" x14ac:dyDescent="0.25">
      <c r="B5" s="538"/>
      <c r="C5" s="77" t="s">
        <v>33</v>
      </c>
      <c r="D5" s="77" t="s">
        <v>22</v>
      </c>
      <c r="E5" s="76" t="s">
        <v>1</v>
      </c>
      <c r="F5" s="475"/>
      <c r="G5" s="475"/>
      <c r="H5" s="478"/>
      <c r="I5" s="479"/>
      <c r="J5" s="482"/>
      <c r="K5" s="483"/>
      <c r="L5" s="545"/>
      <c r="M5" s="545"/>
      <c r="N5" s="467"/>
      <c r="O5" s="470"/>
    </row>
    <row r="6" spans="2:27" ht="14.45" customHeight="1" x14ac:dyDescent="0.25">
      <c r="B6" s="1" t="s">
        <v>2</v>
      </c>
      <c r="C6" s="2"/>
      <c r="D6" s="2"/>
      <c r="E6" s="2"/>
      <c r="F6" s="2"/>
      <c r="G6" s="2"/>
      <c r="H6" s="2"/>
      <c r="I6" s="2"/>
      <c r="J6" s="65"/>
      <c r="K6" s="59"/>
      <c r="L6" s="58"/>
      <c r="M6" s="59"/>
      <c r="N6" s="58"/>
      <c r="O6" s="59"/>
      <c r="S6">
        <v>59152</v>
      </c>
      <c r="T6" t="s">
        <v>26</v>
      </c>
      <c r="Y6" t="s">
        <v>43</v>
      </c>
      <c r="Z6" t="s">
        <v>44</v>
      </c>
      <c r="AA6" t="s">
        <v>45</v>
      </c>
    </row>
    <row r="7" spans="2:27" ht="22.5" x14ac:dyDescent="0.25">
      <c r="B7" s="1" t="s">
        <v>3</v>
      </c>
      <c r="C7" s="4">
        <v>22771</v>
      </c>
      <c r="D7" s="4">
        <v>22785</v>
      </c>
      <c r="E7" s="53">
        <f>D7/D12</f>
        <v>0.93499938446386799</v>
      </c>
      <c r="F7" s="4">
        <f>11951+1931+(1931/31*8)</f>
        <v>14380.322580645161</v>
      </c>
      <c r="G7" s="5">
        <f>F7/D7</f>
        <v>0.63113112050231124</v>
      </c>
      <c r="H7" s="4">
        <v>23651</v>
      </c>
      <c r="I7" s="53">
        <f>H7/D7</f>
        <v>1.0380074610489356</v>
      </c>
      <c r="J7" s="46">
        <v>25135</v>
      </c>
      <c r="K7" s="60">
        <f>+J7/H7</f>
        <v>1.0627457612785929</v>
      </c>
      <c r="L7" s="41">
        <v>25135</v>
      </c>
      <c r="M7" s="60">
        <f>+L7/H7</f>
        <v>1.0627457612785929</v>
      </c>
      <c r="N7" s="41">
        <v>25135</v>
      </c>
      <c r="O7" s="60">
        <f>+N7/H7</f>
        <v>1.0627457612785929</v>
      </c>
      <c r="S7">
        <v>253312</v>
      </c>
      <c r="T7" t="s">
        <v>25</v>
      </c>
      <c r="W7" t="s">
        <v>42</v>
      </c>
      <c r="X7" s="74" t="s">
        <v>39</v>
      </c>
      <c r="Y7" s="75">
        <v>1155700</v>
      </c>
      <c r="Z7" s="79">
        <v>84894.39721472931</v>
      </c>
      <c r="AA7" s="79">
        <v>1240594.3972147293</v>
      </c>
    </row>
    <row r="8" spans="2:27" ht="22.5" x14ac:dyDescent="0.25">
      <c r="B8" s="1" t="s">
        <v>4</v>
      </c>
      <c r="C8" s="4">
        <v>514</v>
      </c>
      <c r="D8" s="4">
        <v>451</v>
      </c>
      <c r="E8" s="53">
        <f>D8/D12</f>
        <v>1.8507119701259796E-2</v>
      </c>
      <c r="F8" s="37">
        <f>393+66+(66/31*8)</f>
        <v>476.0322580645161</v>
      </c>
      <c r="G8" s="5">
        <f>F8/D8</f>
        <v>1.0555038981474858</v>
      </c>
      <c r="H8" s="4">
        <f>319+(66*6)</f>
        <v>715</v>
      </c>
      <c r="I8" s="53">
        <f>H8/D8</f>
        <v>1.5853658536585367</v>
      </c>
      <c r="J8" s="46">
        <v>672</v>
      </c>
      <c r="K8" s="60">
        <f t="shared" ref="K8:K9" si="0">+J8/H8</f>
        <v>0.93986013986013983</v>
      </c>
      <c r="L8" s="41">
        <v>672</v>
      </c>
      <c r="M8" s="60">
        <f t="shared" ref="M8:M25" si="1">+L8/H8</f>
        <v>0.93986013986013983</v>
      </c>
      <c r="N8" s="41">
        <v>884</v>
      </c>
      <c r="O8" s="60">
        <f t="shared" ref="O8:O9" si="2">+N8/H8</f>
        <v>1.2363636363636363</v>
      </c>
      <c r="S8">
        <f>+S7+S6</f>
        <v>312464</v>
      </c>
      <c r="X8" s="74" t="s">
        <v>11</v>
      </c>
      <c r="Y8" s="75">
        <v>438400</v>
      </c>
      <c r="Z8" s="79">
        <v>32203.602785270683</v>
      </c>
      <c r="AA8" s="79">
        <v>470603.60278527066</v>
      </c>
    </row>
    <row r="9" spans="2:27" ht="22.5" x14ac:dyDescent="0.25">
      <c r="B9" s="29" t="s">
        <v>5</v>
      </c>
      <c r="C9" s="30">
        <f>+C7+C8</f>
        <v>23285</v>
      </c>
      <c r="D9" s="30">
        <f>+D7+D8</f>
        <v>23236</v>
      </c>
      <c r="E9" s="31">
        <f>D9/D12</f>
        <v>0.95350650416512783</v>
      </c>
      <c r="F9" s="30">
        <f>+F7+F8</f>
        <v>14856.354838709678</v>
      </c>
      <c r="G9" s="31">
        <f>F9/D9</f>
        <v>0.63936799960017554</v>
      </c>
      <c r="H9" s="30">
        <f>+H7+H8</f>
        <v>24366</v>
      </c>
      <c r="I9" s="71">
        <f>H9/D9</f>
        <v>1.0486314339817524</v>
      </c>
      <c r="J9" s="43">
        <f>SUM(J7:J8)</f>
        <v>25807</v>
      </c>
      <c r="K9" s="72">
        <f t="shared" si="0"/>
        <v>1.0591397849462365</v>
      </c>
      <c r="L9" s="80">
        <f>SUM(L7:L8)</f>
        <v>25807</v>
      </c>
      <c r="M9" s="72">
        <f t="shared" si="1"/>
        <v>1.0591397849462365</v>
      </c>
      <c r="N9" s="43">
        <f>SUM(N7:N8)</f>
        <v>26019</v>
      </c>
      <c r="O9" s="71">
        <f t="shared" si="2"/>
        <v>1.0678404333907905</v>
      </c>
      <c r="Q9" s="57"/>
      <c r="X9" s="74" t="s">
        <v>40</v>
      </c>
      <c r="Y9" s="75"/>
    </row>
    <row r="10" spans="2:27" ht="18.75" x14ac:dyDescent="0.3">
      <c r="B10" s="13" t="s">
        <v>6</v>
      </c>
      <c r="C10" s="14"/>
      <c r="D10" s="14">
        <v>1133</v>
      </c>
      <c r="E10" s="15">
        <f>D10/D12</f>
        <v>4.6493495834872174E-2</v>
      </c>
      <c r="F10" s="16"/>
      <c r="G10" s="16"/>
      <c r="H10" s="14">
        <v>1133</v>
      </c>
      <c r="I10" s="28">
        <f>H10/D10</f>
        <v>1</v>
      </c>
      <c r="J10" s="47">
        <v>0</v>
      </c>
      <c r="K10" s="61"/>
      <c r="L10" s="42">
        <v>1133</v>
      </c>
      <c r="M10" s="61">
        <f t="shared" si="1"/>
        <v>1</v>
      </c>
      <c r="N10" s="42">
        <v>5860</v>
      </c>
      <c r="O10" s="61">
        <f>+N10/H10</f>
        <v>5.1721094439541044</v>
      </c>
      <c r="S10" s="38">
        <v>13976289</v>
      </c>
      <c r="X10" s="74" t="s">
        <v>41</v>
      </c>
      <c r="Y10" s="75">
        <f>SUM(Y7:Y9)</f>
        <v>1594100</v>
      </c>
      <c r="Z10" s="75">
        <f>SUM(Z7:Z9)</f>
        <v>117098</v>
      </c>
      <c r="AA10" s="75">
        <f>SUM(AA7:AA9)</f>
        <v>1711198</v>
      </c>
    </row>
    <row r="11" spans="2:27" ht="16.5" x14ac:dyDescent="0.25">
      <c r="B11" s="13" t="s">
        <v>27</v>
      </c>
      <c r="C11" s="14"/>
      <c r="D11" s="14"/>
      <c r="E11" s="17"/>
      <c r="F11" s="17"/>
      <c r="G11" s="17"/>
      <c r="H11" s="14">
        <v>2086</v>
      </c>
      <c r="I11" s="16"/>
      <c r="J11" s="47">
        <v>0</v>
      </c>
      <c r="K11" s="61"/>
      <c r="L11" s="42">
        <v>0</v>
      </c>
      <c r="M11" s="61">
        <f t="shared" si="1"/>
        <v>0</v>
      </c>
      <c r="N11" s="42">
        <v>0</v>
      </c>
      <c r="O11" s="61">
        <v>0</v>
      </c>
      <c r="U11" s="20"/>
    </row>
    <row r="12" spans="2:27" ht="16.5" x14ac:dyDescent="0.25">
      <c r="B12" s="32" t="s">
        <v>7</v>
      </c>
      <c r="C12" s="33">
        <f>+C11+C9</f>
        <v>23285</v>
      </c>
      <c r="D12" s="33">
        <f>+D9+D10</f>
        <v>24369</v>
      </c>
      <c r="E12" s="34">
        <f>D12/D12</f>
        <v>1</v>
      </c>
      <c r="F12" s="33">
        <f>+F9+F10</f>
        <v>14856.354838709678</v>
      </c>
      <c r="G12" s="34">
        <f>F12/D12</f>
        <v>0.60964154617381416</v>
      </c>
      <c r="H12" s="33">
        <f>+H9+H10+H11</f>
        <v>27585</v>
      </c>
      <c r="I12" s="34">
        <f>H12/D12</f>
        <v>1.1319709466945709</v>
      </c>
      <c r="J12" s="44">
        <f>SUM(J9:J11)</f>
        <v>25807</v>
      </c>
      <c r="K12" s="60">
        <f t="shared" ref="K12:K25" si="3">+J12/H12</f>
        <v>0.93554468007975344</v>
      </c>
      <c r="L12" s="81">
        <f>SUM(L9:L11)</f>
        <v>26940</v>
      </c>
      <c r="M12" s="60">
        <f t="shared" si="1"/>
        <v>0.97661772702555738</v>
      </c>
      <c r="N12" s="44">
        <f>SUM(N9:N11)</f>
        <v>31879</v>
      </c>
      <c r="O12" s="60">
        <f>+N12/H12</f>
        <v>1.1556643103135762</v>
      </c>
    </row>
    <row r="13" spans="2:27" x14ac:dyDescent="0.25">
      <c r="B13" s="1" t="s">
        <v>8</v>
      </c>
      <c r="C13" s="18"/>
      <c r="D13" s="18"/>
      <c r="E13" s="18"/>
      <c r="F13" s="18"/>
      <c r="G13" s="18"/>
      <c r="H13" s="18"/>
      <c r="I13" s="19"/>
      <c r="J13" s="48"/>
      <c r="K13" s="62"/>
      <c r="L13" s="18"/>
      <c r="M13" s="62"/>
      <c r="N13" s="18"/>
      <c r="O13" s="62"/>
      <c r="P13" s="20"/>
      <c r="S13" s="39"/>
    </row>
    <row r="14" spans="2:27" ht="16.5" x14ac:dyDescent="0.25">
      <c r="B14" s="35" t="s">
        <v>9</v>
      </c>
      <c r="C14" s="33">
        <f>+C18+C22+C25</f>
        <v>20678</v>
      </c>
      <c r="D14" s="33">
        <f>+D18+D22+D25</f>
        <v>24369</v>
      </c>
      <c r="E14" s="34">
        <v>1</v>
      </c>
      <c r="F14" s="33">
        <f>+F18+F22+F25</f>
        <v>22397</v>
      </c>
      <c r="G14" s="34">
        <f>F14/D14</f>
        <v>0.91907751651688618</v>
      </c>
      <c r="H14" s="33">
        <f>+H18+H22+H25</f>
        <v>26641</v>
      </c>
      <c r="I14" s="34">
        <f>H14/D14</f>
        <v>1.0932332061225327</v>
      </c>
      <c r="J14" s="49">
        <f>+J18+J22+J25</f>
        <v>25807.390521123758</v>
      </c>
      <c r="K14" s="60">
        <f t="shared" si="3"/>
        <v>0.96870952746232342</v>
      </c>
      <c r="L14" s="33">
        <f>+L18+L22+L25</f>
        <v>26940</v>
      </c>
      <c r="M14" s="60">
        <f t="shared" si="1"/>
        <v>1.0112233024285875</v>
      </c>
      <c r="N14" s="33">
        <f>+N18+N22+N25</f>
        <v>31879</v>
      </c>
      <c r="O14" s="60">
        <f t="shared" ref="O14" si="4">+N14/J14</f>
        <v>1.2352663076844803</v>
      </c>
      <c r="P14" s="20"/>
    </row>
    <row r="15" spans="2:27" x14ac:dyDescent="0.25">
      <c r="B15" s="1" t="s">
        <v>10</v>
      </c>
      <c r="C15" s="21"/>
      <c r="D15" s="2"/>
      <c r="E15" s="2"/>
      <c r="F15" s="2"/>
      <c r="G15" s="2"/>
      <c r="H15" s="21"/>
      <c r="I15" s="2"/>
      <c r="J15" s="73"/>
      <c r="K15" s="63"/>
      <c r="L15" s="45"/>
      <c r="M15" s="82"/>
      <c r="N15" s="45"/>
      <c r="O15" s="63"/>
    </row>
    <row r="16" spans="2:27" ht="16.5" x14ac:dyDescent="0.25">
      <c r="B16" s="1" t="s">
        <v>11</v>
      </c>
      <c r="C16" s="22">
        <v>9411</v>
      </c>
      <c r="D16" s="22">
        <v>12000</v>
      </c>
      <c r="E16" s="3">
        <f>D16/D14</f>
        <v>0.49242890557675734</v>
      </c>
      <c r="F16" s="11">
        <f>10122+98</f>
        <v>10220</v>
      </c>
      <c r="G16" s="5">
        <f>F16/D16</f>
        <v>0.85166666666666668</v>
      </c>
      <c r="H16" s="12">
        <f>12228+205+175</f>
        <v>12608</v>
      </c>
      <c r="I16" s="7">
        <f>H16/D16</f>
        <v>1.0506666666666666</v>
      </c>
      <c r="J16" s="50">
        <f>12030.5715204804-205+245-115</f>
        <v>11955.5715204804</v>
      </c>
      <c r="K16" s="60">
        <f t="shared" si="3"/>
        <v>0.94825281729698607</v>
      </c>
      <c r="L16" s="12">
        <f>11970+680-11+86+245-115</f>
        <v>12855</v>
      </c>
      <c r="M16" s="60">
        <f t="shared" si="1"/>
        <v>1.0195907360406091</v>
      </c>
      <c r="N16" s="12">
        <f>13550+191+471</f>
        <v>14212</v>
      </c>
      <c r="O16" s="60">
        <f>+N16/H16</f>
        <v>1.1272208121827412</v>
      </c>
      <c r="Q16" s="36"/>
      <c r="T16" s="20"/>
      <c r="U16" s="36"/>
      <c r="W16" s="40"/>
      <c r="Z16" s="79"/>
    </row>
    <row r="17" spans="2:26" ht="16.5" x14ac:dyDescent="0.25">
      <c r="B17" s="1" t="s">
        <v>12</v>
      </c>
      <c r="C17" s="22">
        <v>7796</v>
      </c>
      <c r="D17" s="22">
        <v>8000</v>
      </c>
      <c r="E17" s="3">
        <f>D17/D14</f>
        <v>0.32828593705117159</v>
      </c>
      <c r="F17" s="11">
        <f>9255+372+253</f>
        <v>9880</v>
      </c>
      <c r="G17" s="5">
        <f>F17/D17</f>
        <v>1.2350000000000001</v>
      </c>
      <c r="H17" s="12">
        <f>9255+350+450</f>
        <v>10055</v>
      </c>
      <c r="I17" s="7">
        <f>H17/D17</f>
        <v>1.256875</v>
      </c>
      <c r="J17" s="50">
        <f>9791.81900064336+205+201+6-97</f>
        <v>10106.81900064336</v>
      </c>
      <c r="K17" s="60">
        <f t="shared" si="3"/>
        <v>1.0051535555090363</v>
      </c>
      <c r="L17" s="12">
        <f>9702+453-11+86+201+6-97</f>
        <v>10340</v>
      </c>
      <c r="M17" s="60">
        <f t="shared" si="1"/>
        <v>1.0283441074092492</v>
      </c>
      <c r="N17" s="12">
        <f>10630+372+1241</f>
        <v>12243</v>
      </c>
      <c r="O17" s="60">
        <f>+N17/H17</f>
        <v>1.2176031824962705</v>
      </c>
      <c r="Q17" s="36"/>
      <c r="T17" s="20"/>
      <c r="U17" s="36"/>
      <c r="W17" s="40"/>
      <c r="Z17" s="79"/>
    </row>
    <row r="18" spans="2:26" ht="16.5" x14ac:dyDescent="0.25">
      <c r="B18" s="8" t="s">
        <v>13</v>
      </c>
      <c r="C18" s="9">
        <f>+C16+C17</f>
        <v>17207</v>
      </c>
      <c r="D18" s="9">
        <f>+D16+D17</f>
        <v>20000</v>
      </c>
      <c r="E18" s="10">
        <f>D18/D14</f>
        <v>0.82071484262792893</v>
      </c>
      <c r="F18" s="11">
        <f>+F16+F17</f>
        <v>20100</v>
      </c>
      <c r="G18" s="5">
        <f>F18/D18</f>
        <v>1.0049999999999999</v>
      </c>
      <c r="H18" s="12">
        <f>+H17+H16</f>
        <v>22663</v>
      </c>
      <c r="I18" s="7">
        <f>H18/D18</f>
        <v>1.1331500000000001</v>
      </c>
      <c r="J18" s="12">
        <f>+J17+J16</f>
        <v>22062.390521123758</v>
      </c>
      <c r="K18" s="60">
        <f t="shared" si="3"/>
        <v>0.97349823594068563</v>
      </c>
      <c r="L18" s="12">
        <f>+L17+L16</f>
        <v>23195</v>
      </c>
      <c r="M18" s="60">
        <f t="shared" si="1"/>
        <v>1.0234743855623705</v>
      </c>
      <c r="N18" s="12">
        <f>+N17+N16</f>
        <v>26455</v>
      </c>
      <c r="O18" s="60">
        <f>+N18/H18</f>
        <v>1.1673211843092266</v>
      </c>
      <c r="T18" s="20"/>
    </row>
    <row r="19" spans="2:26" x14ac:dyDescent="0.25">
      <c r="B19" s="23" t="s">
        <v>14</v>
      </c>
      <c r="C19" s="21"/>
      <c r="D19" s="2"/>
      <c r="E19" s="2"/>
      <c r="F19" s="21"/>
      <c r="G19" s="2"/>
      <c r="H19" s="21"/>
      <c r="I19" s="2"/>
      <c r="J19" s="51"/>
      <c r="K19" s="64"/>
      <c r="L19" s="21"/>
      <c r="M19" s="64"/>
      <c r="N19" s="21"/>
      <c r="O19" s="64"/>
    </row>
    <row r="20" spans="2:26" ht="16.5" x14ac:dyDescent="0.25">
      <c r="B20" s="1" t="s">
        <v>15</v>
      </c>
      <c r="C20" s="22">
        <v>289</v>
      </c>
      <c r="D20" s="24">
        <v>569</v>
      </c>
      <c r="E20" s="3">
        <f>D20/D14</f>
        <v>2.334933727276458E-2</v>
      </c>
      <c r="F20" s="4">
        <v>332</v>
      </c>
      <c r="G20" s="5">
        <f>F20/D20</f>
        <v>0.58347978910369069</v>
      </c>
      <c r="H20" s="6">
        <v>475</v>
      </c>
      <c r="I20" s="7">
        <f>H20/D20</f>
        <v>0.83479789103690683</v>
      </c>
      <c r="J20" s="52">
        <v>373</v>
      </c>
      <c r="K20" s="60">
        <f t="shared" si="3"/>
        <v>0.78526315789473689</v>
      </c>
      <c r="L20" s="6">
        <v>373</v>
      </c>
      <c r="M20" s="60">
        <f t="shared" si="1"/>
        <v>0.78526315789473689</v>
      </c>
      <c r="N20" s="6">
        <v>692</v>
      </c>
      <c r="O20" s="60">
        <f>+N20/H20</f>
        <v>1.4568421052631579</v>
      </c>
    </row>
    <row r="21" spans="2:26" ht="16.5" x14ac:dyDescent="0.25">
      <c r="B21" s="1" t="s">
        <v>16</v>
      </c>
      <c r="C21" s="22">
        <v>159</v>
      </c>
      <c r="D21" s="24">
        <v>200</v>
      </c>
      <c r="E21" s="3">
        <f>D21/D14</f>
        <v>8.2071484262792888E-3</v>
      </c>
      <c r="F21" s="4">
        <v>92</v>
      </c>
      <c r="G21" s="5">
        <f>F21/D21</f>
        <v>0.46</v>
      </c>
      <c r="H21" s="6">
        <v>159</v>
      </c>
      <c r="I21" s="7">
        <f>H21/D21</f>
        <v>0.79500000000000004</v>
      </c>
      <c r="J21" s="52">
        <v>349</v>
      </c>
      <c r="K21" s="60">
        <f t="shared" si="3"/>
        <v>2.1949685534591197</v>
      </c>
      <c r="L21" s="6">
        <v>349</v>
      </c>
      <c r="M21" s="60">
        <f t="shared" si="1"/>
        <v>2.1949685534591197</v>
      </c>
      <c r="N21" s="6">
        <v>350</v>
      </c>
      <c r="O21" s="60">
        <f>+N21/H21</f>
        <v>2.2012578616352201</v>
      </c>
    </row>
    <row r="22" spans="2:26" ht="16.5" x14ac:dyDescent="0.25">
      <c r="B22" s="8" t="s">
        <v>17</v>
      </c>
      <c r="C22" s="9">
        <f>+C21+C20</f>
        <v>448</v>
      </c>
      <c r="D22" s="25">
        <f>+D20+D21</f>
        <v>769</v>
      </c>
      <c r="E22" s="10">
        <f>D22/D14</f>
        <v>3.1556485699043867E-2</v>
      </c>
      <c r="F22" s="11">
        <f>+F20+F21</f>
        <v>424</v>
      </c>
      <c r="G22" s="5">
        <f>F22/D22</f>
        <v>0.55136540962288683</v>
      </c>
      <c r="H22" s="12">
        <f>+H21+H20</f>
        <v>634</v>
      </c>
      <c r="I22" s="7">
        <f>H22/D22</f>
        <v>0.82444733420026006</v>
      </c>
      <c r="J22" s="50">
        <f>+J21+J20</f>
        <v>722</v>
      </c>
      <c r="K22" s="60">
        <f t="shared" si="3"/>
        <v>1.138801261829653</v>
      </c>
      <c r="L22" s="83">
        <f>+L21+L20</f>
        <v>722</v>
      </c>
      <c r="M22" s="60">
        <f t="shared" si="1"/>
        <v>1.138801261829653</v>
      </c>
      <c r="N22" s="50">
        <f>+N21+N20</f>
        <v>1042</v>
      </c>
      <c r="O22" s="60">
        <f>+N22/H22</f>
        <v>1.6435331230283912</v>
      </c>
    </row>
    <row r="23" spans="2:26" x14ac:dyDescent="0.25">
      <c r="B23" s="1" t="s">
        <v>18</v>
      </c>
      <c r="C23" s="21"/>
      <c r="D23" s="2"/>
      <c r="E23" s="2"/>
      <c r="F23" s="21"/>
      <c r="G23" s="2"/>
      <c r="H23" s="21"/>
      <c r="I23" s="2"/>
      <c r="J23" s="51"/>
      <c r="K23" s="64"/>
      <c r="L23" s="21"/>
      <c r="M23" s="64"/>
      <c r="N23" s="21"/>
      <c r="O23" s="64"/>
    </row>
    <row r="24" spans="2:26" ht="16.5" x14ac:dyDescent="0.25">
      <c r="B24" s="1" t="s">
        <v>19</v>
      </c>
      <c r="C24" s="22">
        <v>3023</v>
      </c>
      <c r="D24" s="22">
        <v>3600</v>
      </c>
      <c r="E24" s="3">
        <f>D24/D14</f>
        <v>0.1477286716730272</v>
      </c>
      <c r="F24" s="4">
        <f>1209+90+283+126+165</f>
        <v>1873</v>
      </c>
      <c r="G24" s="5">
        <f>F24/D24</f>
        <v>0.52027777777777773</v>
      </c>
      <c r="H24" s="12">
        <f>3023+321</f>
        <v>3344</v>
      </c>
      <c r="I24" s="7">
        <f>H24/D24</f>
        <v>0.92888888888888888</v>
      </c>
      <c r="J24" s="50">
        <v>3023</v>
      </c>
      <c r="K24" s="60">
        <f t="shared" si="3"/>
        <v>0.90400717703349287</v>
      </c>
      <c r="L24" s="12">
        <v>3023</v>
      </c>
      <c r="M24" s="60">
        <f t="shared" si="1"/>
        <v>0.90400717703349287</v>
      </c>
      <c r="N24" s="12">
        <f>3958+48+376</f>
        <v>4382</v>
      </c>
      <c r="O24" s="60">
        <f>+N24/H24</f>
        <v>1.3104066985645932</v>
      </c>
    </row>
    <row r="25" spans="2:26" ht="16.5" x14ac:dyDescent="0.25">
      <c r="B25" s="8" t="s">
        <v>20</v>
      </c>
      <c r="C25" s="9">
        <f>+C24</f>
        <v>3023</v>
      </c>
      <c r="D25" s="9">
        <f>+D24</f>
        <v>3600</v>
      </c>
      <c r="E25" s="10">
        <f>D25/D14</f>
        <v>0.1477286716730272</v>
      </c>
      <c r="F25" s="11">
        <f>+F24</f>
        <v>1873</v>
      </c>
      <c r="G25" s="5">
        <f>F25/D25</f>
        <v>0.52027777777777773</v>
      </c>
      <c r="H25" s="12">
        <f>+H24</f>
        <v>3344</v>
      </c>
      <c r="I25" s="7">
        <f>H25/D25</f>
        <v>0.92888888888888888</v>
      </c>
      <c r="J25" s="12">
        <f>+J24</f>
        <v>3023</v>
      </c>
      <c r="K25" s="60">
        <f t="shared" si="3"/>
        <v>0.90400717703349287</v>
      </c>
      <c r="L25" s="12">
        <f>+L24</f>
        <v>3023</v>
      </c>
      <c r="M25" s="60">
        <f t="shared" si="1"/>
        <v>0.90400717703349287</v>
      </c>
      <c r="N25" s="12">
        <f>+N24</f>
        <v>4382</v>
      </c>
      <c r="O25" s="60">
        <f>+N25/H25</f>
        <v>1.3104066985645932</v>
      </c>
    </row>
    <row r="26" spans="2:26" ht="17.45" hidden="1" customHeight="1" x14ac:dyDescent="0.25">
      <c r="B26" s="26" t="s">
        <v>21</v>
      </c>
      <c r="C26" s="26"/>
      <c r="D26" s="26"/>
      <c r="E26" s="26"/>
      <c r="F26" s="26"/>
      <c r="G26" s="26"/>
      <c r="H26" s="27">
        <f>+H12-H14</f>
        <v>944</v>
      </c>
      <c r="I26" s="19"/>
    </row>
    <row r="27" spans="2:26" x14ac:dyDescent="0.25">
      <c r="B27" t="s">
        <v>28</v>
      </c>
    </row>
    <row r="29" spans="2:26" ht="18.75" x14ac:dyDescent="0.3">
      <c r="B29" s="20"/>
      <c r="C29" s="68">
        <v>0</v>
      </c>
      <c r="D29" s="68">
        <v>0</v>
      </c>
      <c r="E29" s="68"/>
      <c r="F29" s="68">
        <v>0</v>
      </c>
      <c r="G29" s="68"/>
      <c r="H29" s="69">
        <f>+H12-H14</f>
        <v>944</v>
      </c>
      <c r="I29" s="68"/>
      <c r="J29" s="69">
        <f>+J12-J14</f>
        <v>-0.39052112375793513</v>
      </c>
      <c r="K29" s="69"/>
      <c r="L29" s="69">
        <f>+L12-L14</f>
        <v>0</v>
      </c>
      <c r="M29" s="69"/>
      <c r="N29" s="69">
        <f>+N12-N14</f>
        <v>0</v>
      </c>
      <c r="O29" s="68"/>
    </row>
    <row r="30" spans="2:26" x14ac:dyDescent="0.25">
      <c r="B30" s="20"/>
      <c r="C30" s="70"/>
      <c r="D30" s="70"/>
      <c r="E30" s="20"/>
      <c r="F30" s="20"/>
      <c r="G30" s="20"/>
      <c r="H30" s="20"/>
      <c r="I30" s="20"/>
      <c r="J30" s="66"/>
      <c r="K30" s="67"/>
      <c r="M30" s="67"/>
      <c r="N30" s="67"/>
      <c r="O30" s="20"/>
    </row>
    <row r="31" spans="2:26" x14ac:dyDescent="0.25">
      <c r="F31" s="20"/>
      <c r="H31" s="20"/>
    </row>
    <row r="32" spans="2:26" x14ac:dyDescent="0.25">
      <c r="F32" s="20"/>
      <c r="H32" s="20">
        <f>+D14-H14</f>
        <v>-2272</v>
      </c>
    </row>
    <row r="33" spans="6:8" x14ac:dyDescent="0.25">
      <c r="F33" s="20"/>
      <c r="H33" s="20"/>
    </row>
  </sheetData>
  <mergeCells count="7">
    <mergeCell ref="N4:O5"/>
    <mergeCell ref="B4:B5"/>
    <mergeCell ref="C4:E4"/>
    <mergeCell ref="F4:G5"/>
    <mergeCell ref="H4:I5"/>
    <mergeCell ref="J4:K5"/>
    <mergeCell ref="L4:M5"/>
  </mergeCells>
  <pageMargins left="0.7" right="0.7" top="0.75" bottom="0.75" header="0.3" footer="0.3"/>
  <pageSetup orientation="landscape" r:id="rId1"/>
  <ignoredErrors>
    <ignoredError sqref="I14:I25 G9 G14 G25 K18 K22 K25 M22 M25 M12 M14 M18 K9 M9 K12:K14 E9:E25" formula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C1:L14"/>
  <sheetViews>
    <sheetView showGridLines="0" topLeftCell="B1" workbookViewId="0">
      <selection activeCell="N4" sqref="N4"/>
    </sheetView>
  </sheetViews>
  <sheetFormatPr baseColWidth="10" defaultRowHeight="15" x14ac:dyDescent="0.25"/>
  <cols>
    <col min="3" max="3" width="29.7109375" customWidth="1"/>
    <col min="4" max="4" width="15" customWidth="1"/>
    <col min="5" max="5" width="7" customWidth="1"/>
    <col min="6" max="6" width="14.5703125" hidden="1" customWidth="1"/>
    <col min="7" max="7" width="7.42578125" hidden="1" customWidth="1"/>
    <col min="8" max="8" width="15.28515625" hidden="1" customWidth="1"/>
    <col min="9" max="9" width="7.28515625" hidden="1" customWidth="1"/>
    <col min="10" max="10" width="14.7109375" customWidth="1"/>
    <col min="11" max="11" width="7" customWidth="1"/>
  </cols>
  <sheetData>
    <row r="1" spans="3:12" ht="26.25" x14ac:dyDescent="0.4">
      <c r="C1" s="546" t="s">
        <v>38</v>
      </c>
      <c r="D1" s="546"/>
      <c r="E1" s="546"/>
      <c r="F1" s="546"/>
      <c r="G1" s="546"/>
      <c r="H1" s="546"/>
      <c r="I1" s="546"/>
      <c r="J1" s="546"/>
      <c r="K1" s="546"/>
    </row>
    <row r="2" spans="3:12" ht="27" thickBot="1" x14ac:dyDescent="0.45">
      <c r="C2" s="94" t="s">
        <v>52</v>
      </c>
      <c r="D2" s="78"/>
      <c r="E2" s="78"/>
      <c r="F2" s="78"/>
      <c r="G2" s="78"/>
      <c r="H2" s="78"/>
      <c r="I2" s="78"/>
      <c r="J2" s="78"/>
      <c r="K2" s="78"/>
    </row>
    <row r="3" spans="3:12" ht="14.45" customHeight="1" x14ac:dyDescent="0.25">
      <c r="C3" s="549" t="s">
        <v>0</v>
      </c>
      <c r="D3" s="475" t="s">
        <v>49</v>
      </c>
      <c r="E3" s="547" t="s">
        <v>1</v>
      </c>
      <c r="F3" s="551" t="s">
        <v>50</v>
      </c>
      <c r="G3" s="547" t="s">
        <v>1</v>
      </c>
      <c r="H3" s="552" t="s">
        <v>51</v>
      </c>
      <c r="I3" s="547" t="s">
        <v>1</v>
      </c>
      <c r="J3" s="552" t="s">
        <v>76</v>
      </c>
      <c r="K3" s="475" t="s">
        <v>1</v>
      </c>
    </row>
    <row r="4" spans="3:12" ht="33" customHeight="1" thickBot="1" x14ac:dyDescent="0.3">
      <c r="C4" s="550"/>
      <c r="D4" s="475"/>
      <c r="E4" s="548"/>
      <c r="F4" s="551"/>
      <c r="G4" s="548"/>
      <c r="H4" s="552"/>
      <c r="I4" s="548"/>
      <c r="J4" s="552"/>
      <c r="K4" s="475"/>
    </row>
    <row r="5" spans="3:12" ht="14.45" customHeight="1" x14ac:dyDescent="0.25">
      <c r="C5" s="91" t="s">
        <v>11</v>
      </c>
      <c r="D5" s="4">
        <f>+'PTOS 2011-2012+ OPS 1 Y2'!H16</f>
        <v>12608</v>
      </c>
      <c r="E5" s="53">
        <f>+D5/D7</f>
        <v>0.55632528791422142</v>
      </c>
      <c r="F5" s="4">
        <f>+'PTOS 2011-2012+ OPS 1 Y2'!J16</f>
        <v>11955.5715204804</v>
      </c>
      <c r="G5" s="53">
        <f>+F5/F7</f>
        <v>0.54189828201225387</v>
      </c>
      <c r="H5" s="4">
        <f>+'PTOS 2011-2012+ OPS 1 Y2'!L16</f>
        <v>12855</v>
      </c>
      <c r="I5" s="53">
        <f>+H5/H7</f>
        <v>0.55421427031687864</v>
      </c>
      <c r="J5" s="41">
        <f>+'Presupuesto DGP FINAL'!N16</f>
        <v>14286</v>
      </c>
      <c r="K5" s="60">
        <f>+J5/J7</f>
        <v>0.53349764732242888</v>
      </c>
    </row>
    <row r="6" spans="3:12" ht="16.5" x14ac:dyDescent="0.25">
      <c r="C6" s="91" t="s">
        <v>37</v>
      </c>
      <c r="D6" s="4">
        <f>+'PTOS 2011-2012+ OPS 1 Y2'!H17</f>
        <v>10055</v>
      </c>
      <c r="E6" s="53">
        <f>+D6/D7</f>
        <v>0.44367471208577858</v>
      </c>
      <c r="F6" s="4">
        <f>+'PTOS 2011-2012+ OPS 1 Y2'!J17</f>
        <v>10106.81900064336</v>
      </c>
      <c r="G6" s="53">
        <f>+F6/F7</f>
        <v>0.45810171798774618</v>
      </c>
      <c r="H6" s="4">
        <f>+'PTOS 2011-2012+ OPS 1 Y2'!L17</f>
        <v>10340</v>
      </c>
      <c r="I6" s="53">
        <f>+H6/H7</f>
        <v>0.44578572968312136</v>
      </c>
      <c r="J6" s="41">
        <f>+'Presupuesto DGP FINAL'!N17</f>
        <v>12492</v>
      </c>
      <c r="K6" s="60">
        <f>+J6/J7</f>
        <v>0.46650235267757112</v>
      </c>
    </row>
    <row r="7" spans="3:12" ht="16.5" x14ac:dyDescent="0.25">
      <c r="C7" s="89" t="s">
        <v>41</v>
      </c>
      <c r="D7" s="30">
        <f>SUM(D5:D6)</f>
        <v>22663</v>
      </c>
      <c r="E7" s="71"/>
      <c r="F7" s="88">
        <f>SUM(F5:F6)</f>
        <v>22062.390521123758</v>
      </c>
      <c r="G7" s="71"/>
      <c r="H7" s="43">
        <f>SUM(H5:H6)</f>
        <v>23195</v>
      </c>
      <c r="I7" s="71"/>
      <c r="J7" s="43">
        <f>SUM(J5:J6)</f>
        <v>26778</v>
      </c>
      <c r="K7" s="72"/>
    </row>
    <row r="8" spans="3:12" ht="16.5" x14ac:dyDescent="0.25">
      <c r="C8" s="90"/>
      <c r="D8" s="84"/>
      <c r="E8" s="85"/>
      <c r="F8" s="86"/>
      <c r="G8" s="85"/>
      <c r="H8" s="86"/>
      <c r="I8" s="85"/>
      <c r="J8" s="86"/>
      <c r="K8" s="85"/>
      <c r="L8" s="87"/>
    </row>
    <row r="9" spans="3:12" ht="16.5" x14ac:dyDescent="0.25">
      <c r="C9" s="94" t="s">
        <v>46</v>
      </c>
      <c r="D9" s="84"/>
      <c r="E9" s="85"/>
      <c r="F9" s="86"/>
      <c r="G9" s="85"/>
      <c r="H9" s="86"/>
      <c r="I9" s="85"/>
      <c r="J9" s="86"/>
      <c r="K9" s="85"/>
    </row>
    <row r="10" spans="3:12" ht="16.5" x14ac:dyDescent="0.25">
      <c r="C10" s="91" t="s">
        <v>11</v>
      </c>
      <c r="D10" s="4">
        <f>+D5</f>
        <v>12608</v>
      </c>
      <c r="E10" s="53">
        <f>+D10/D14</f>
        <v>0.41217431102683971</v>
      </c>
      <c r="F10" s="46">
        <f t="shared" ref="F10:J10" si="0">+F5</f>
        <v>11955.5715204804</v>
      </c>
      <c r="G10" s="53">
        <f>+F10/F14</f>
        <v>0.45655668011351958</v>
      </c>
      <c r="H10" s="41">
        <f t="shared" si="0"/>
        <v>12855</v>
      </c>
      <c r="I10" s="53">
        <f>+H10/H14</f>
        <v>0.47055163073318934</v>
      </c>
      <c r="J10" s="41">
        <f t="shared" si="0"/>
        <v>14286</v>
      </c>
      <c r="K10" s="60">
        <f>+J10/J14</f>
        <v>0.46230017474597113</v>
      </c>
    </row>
    <row r="11" spans="3:12" ht="16.5" x14ac:dyDescent="0.25">
      <c r="C11" s="91" t="s">
        <v>12</v>
      </c>
      <c r="D11" s="4">
        <f>+D12+D13</f>
        <v>17981</v>
      </c>
      <c r="E11" s="53">
        <f>+D11/D14</f>
        <v>0.58782568897316023</v>
      </c>
      <c r="F11" s="46">
        <f>+F12+F13</f>
        <v>14230.81900064336</v>
      </c>
      <c r="G11" s="53">
        <f>+F11/F14</f>
        <v>0.54344331988648054</v>
      </c>
      <c r="H11" s="41">
        <f>+H12+H13</f>
        <v>14464</v>
      </c>
      <c r="I11" s="53">
        <f>+H11/H14</f>
        <v>0.5294483692668106</v>
      </c>
      <c r="J11" s="41">
        <f>+J12+J13</f>
        <v>16616</v>
      </c>
      <c r="K11" s="60">
        <f>+J11/J14</f>
        <v>0.53769982525402882</v>
      </c>
    </row>
    <row r="12" spans="3:12" x14ac:dyDescent="0.25">
      <c r="C12" s="92" t="s">
        <v>47</v>
      </c>
      <c r="D12" s="95">
        <f>+D6+D13</f>
        <v>14018</v>
      </c>
      <c r="E12" s="96">
        <f>+D12/D11</f>
        <v>0.77960068961681772</v>
      </c>
      <c r="F12" s="95">
        <f>+F6+F13</f>
        <v>12168.81900064336</v>
      </c>
      <c r="G12" s="96">
        <f>+F12/F11</f>
        <v>0.85510320945640728</v>
      </c>
      <c r="H12" s="95">
        <f>+H6+H13</f>
        <v>12402</v>
      </c>
      <c r="I12" s="96">
        <f>+H12/H11</f>
        <v>0.8574391592920354</v>
      </c>
      <c r="J12" s="95">
        <f>+J6+J13</f>
        <v>14554</v>
      </c>
      <c r="K12" s="96">
        <f>+J12/J11</f>
        <v>0.87590274434280213</v>
      </c>
    </row>
    <row r="13" spans="3:12" x14ac:dyDescent="0.25">
      <c r="C13" s="93" t="s">
        <v>48</v>
      </c>
      <c r="D13" s="97">
        <v>3963</v>
      </c>
      <c r="E13" s="98">
        <f>+D13/D11</f>
        <v>0.22039931038318225</v>
      </c>
      <c r="F13" s="99">
        <v>2062</v>
      </c>
      <c r="G13" s="98">
        <f>+F13/F11</f>
        <v>0.1448967905435927</v>
      </c>
      <c r="H13" s="100">
        <v>2062</v>
      </c>
      <c r="I13" s="98">
        <f>+H13/H11</f>
        <v>0.1425608407079646</v>
      </c>
      <c r="J13" s="100">
        <v>2062</v>
      </c>
      <c r="K13" s="101">
        <f>+J13/J11</f>
        <v>0.12409725565719788</v>
      </c>
    </row>
    <row r="14" spans="3:12" ht="16.5" x14ac:dyDescent="0.25">
      <c r="C14" s="89" t="s">
        <v>36</v>
      </c>
      <c r="D14" s="30">
        <f>+D11+D10</f>
        <v>30589</v>
      </c>
      <c r="E14" s="71">
        <f t="shared" ref="E14:K14" si="1">+E11+E10</f>
        <v>1</v>
      </c>
      <c r="F14" s="43">
        <f t="shared" si="1"/>
        <v>26186.390521123758</v>
      </c>
      <c r="G14" s="71">
        <f t="shared" si="1"/>
        <v>1</v>
      </c>
      <c r="H14" s="43">
        <f t="shared" si="1"/>
        <v>27319</v>
      </c>
      <c r="I14" s="71">
        <f t="shared" si="1"/>
        <v>1</v>
      </c>
      <c r="J14" s="43">
        <f t="shared" si="1"/>
        <v>30902</v>
      </c>
      <c r="K14" s="72">
        <f t="shared" si="1"/>
        <v>1</v>
      </c>
    </row>
  </sheetData>
  <mergeCells count="10">
    <mergeCell ref="C1:K1"/>
    <mergeCell ref="G3:G4"/>
    <mergeCell ref="I3:I4"/>
    <mergeCell ref="E3:E4"/>
    <mergeCell ref="C3:C4"/>
    <mergeCell ref="K3:K4"/>
    <mergeCell ref="D3:D4"/>
    <mergeCell ref="F3:F4"/>
    <mergeCell ref="H3:H4"/>
    <mergeCell ref="J3:J4"/>
  </mergeCells>
  <pageMargins left="0.7" right="0.7" top="0.75" bottom="0.75" header="0.3" footer="0.3"/>
  <ignoredErrors>
    <ignoredError sqref="F5:F6 H5:H6 J5:J6 J10:J11 G10:H10 F10 E10:E12 H11:H12 F11:F12 G11:G12 I10:I12" formula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WVK140"/>
  <sheetViews>
    <sheetView topLeftCell="A108" workbookViewId="0">
      <selection activeCell="F142" sqref="F142"/>
    </sheetView>
  </sheetViews>
  <sheetFormatPr baseColWidth="10" defaultRowHeight="15" outlineLevelRow="2" x14ac:dyDescent="0.25"/>
  <cols>
    <col min="1" max="1" width="11.5703125" style="166"/>
    <col min="2" max="2" width="29.7109375" style="167" customWidth="1"/>
    <col min="3" max="3" width="9.5703125" style="167" customWidth="1"/>
    <col min="4" max="4" width="20.140625" style="167" customWidth="1"/>
    <col min="5" max="5" width="45" style="167" hidden="1" customWidth="1"/>
    <col min="6" max="6" width="13" style="169" bestFit="1" customWidth="1"/>
    <col min="7" max="254" width="11.5703125" style="167"/>
    <col min="255" max="255" width="29.7109375" style="167" customWidth="1"/>
    <col min="256" max="256" width="9.5703125" style="167" customWidth="1"/>
    <col min="257" max="257" width="20.140625" style="167" customWidth="1"/>
    <col min="258" max="258" width="45" style="167" bestFit="1" customWidth="1"/>
    <col min="259" max="259" width="13" style="167" bestFit="1" customWidth="1"/>
    <col min="260" max="510" width="11.5703125" style="167"/>
    <col min="511" max="511" width="29.7109375" style="167" customWidth="1"/>
    <col min="512" max="512" width="9.5703125" style="167" customWidth="1"/>
    <col min="513" max="513" width="20.140625" style="167" customWidth="1"/>
    <col min="514" max="514" width="45" style="167" bestFit="1" customWidth="1"/>
    <col min="515" max="515" width="13" style="167" bestFit="1" customWidth="1"/>
    <col min="516" max="766" width="11.5703125" style="167"/>
    <col min="767" max="767" width="29.7109375" style="167" customWidth="1"/>
    <col min="768" max="768" width="9.5703125" style="167" customWidth="1"/>
    <col min="769" max="769" width="20.140625" style="167" customWidth="1"/>
    <col min="770" max="770" width="45" style="167" bestFit="1" customWidth="1"/>
    <col min="771" max="771" width="13" style="167" bestFit="1" customWidth="1"/>
    <col min="772" max="1022" width="11.5703125" style="167"/>
    <col min="1023" max="1023" width="29.7109375" style="167" customWidth="1"/>
    <col min="1024" max="1024" width="9.5703125" style="167" customWidth="1"/>
    <col min="1025" max="1025" width="20.140625" style="167" customWidth="1"/>
    <col min="1026" max="1026" width="45" style="167" bestFit="1" customWidth="1"/>
    <col min="1027" max="1027" width="13" style="167" bestFit="1" customWidth="1"/>
    <col min="1028" max="1278" width="11.5703125" style="167"/>
    <col min="1279" max="1279" width="29.7109375" style="167" customWidth="1"/>
    <col min="1280" max="1280" width="9.5703125" style="167" customWidth="1"/>
    <col min="1281" max="1281" width="20.140625" style="167" customWidth="1"/>
    <col min="1282" max="1282" width="45" style="167" bestFit="1" customWidth="1"/>
    <col min="1283" max="1283" width="13" style="167" bestFit="1" customWidth="1"/>
    <col min="1284" max="1534" width="11.5703125" style="167"/>
    <col min="1535" max="1535" width="29.7109375" style="167" customWidth="1"/>
    <col min="1536" max="1536" width="9.5703125" style="167" customWidth="1"/>
    <col min="1537" max="1537" width="20.140625" style="167" customWidth="1"/>
    <col min="1538" max="1538" width="45" style="167" bestFit="1" customWidth="1"/>
    <col min="1539" max="1539" width="13" style="167" bestFit="1" customWidth="1"/>
    <col min="1540" max="1790" width="11.5703125" style="167"/>
    <col min="1791" max="1791" width="29.7109375" style="167" customWidth="1"/>
    <col min="1792" max="1792" width="9.5703125" style="167" customWidth="1"/>
    <col min="1793" max="1793" width="20.140625" style="167" customWidth="1"/>
    <col min="1794" max="1794" width="45" style="167" bestFit="1" customWidth="1"/>
    <col min="1795" max="1795" width="13" style="167" bestFit="1" customWidth="1"/>
    <col min="1796" max="2046" width="11.5703125" style="167"/>
    <col min="2047" max="2047" width="29.7109375" style="167" customWidth="1"/>
    <col min="2048" max="2048" width="9.5703125" style="167" customWidth="1"/>
    <col min="2049" max="2049" width="20.140625" style="167" customWidth="1"/>
    <col min="2050" max="2050" width="45" style="167" bestFit="1" customWidth="1"/>
    <col min="2051" max="2051" width="13" style="167" bestFit="1" customWidth="1"/>
    <col min="2052" max="2302" width="11.5703125" style="167"/>
    <col min="2303" max="2303" width="29.7109375" style="167" customWidth="1"/>
    <col min="2304" max="2304" width="9.5703125" style="167" customWidth="1"/>
    <col min="2305" max="2305" width="20.140625" style="167" customWidth="1"/>
    <col min="2306" max="2306" width="45" style="167" bestFit="1" customWidth="1"/>
    <col min="2307" max="2307" width="13" style="167" bestFit="1" customWidth="1"/>
    <col min="2308" max="2558" width="11.5703125" style="167"/>
    <col min="2559" max="2559" width="29.7109375" style="167" customWidth="1"/>
    <col min="2560" max="2560" width="9.5703125" style="167" customWidth="1"/>
    <col min="2561" max="2561" width="20.140625" style="167" customWidth="1"/>
    <col min="2562" max="2562" width="45" style="167" bestFit="1" customWidth="1"/>
    <col min="2563" max="2563" width="13" style="167" bestFit="1" customWidth="1"/>
    <col min="2564" max="2814" width="11.5703125" style="167"/>
    <col min="2815" max="2815" width="29.7109375" style="167" customWidth="1"/>
    <col min="2816" max="2816" width="9.5703125" style="167" customWidth="1"/>
    <col min="2817" max="2817" width="20.140625" style="167" customWidth="1"/>
    <col min="2818" max="2818" width="45" style="167" bestFit="1" customWidth="1"/>
    <col min="2819" max="2819" width="13" style="167" bestFit="1" customWidth="1"/>
    <col min="2820" max="3070" width="11.5703125" style="167"/>
    <col min="3071" max="3071" width="29.7109375" style="167" customWidth="1"/>
    <col min="3072" max="3072" width="9.5703125" style="167" customWidth="1"/>
    <col min="3073" max="3073" width="20.140625" style="167" customWidth="1"/>
    <col min="3074" max="3074" width="45" style="167" bestFit="1" customWidth="1"/>
    <col min="3075" max="3075" width="13" style="167" bestFit="1" customWidth="1"/>
    <col min="3076" max="3326" width="11.5703125" style="167"/>
    <col min="3327" max="3327" width="29.7109375" style="167" customWidth="1"/>
    <col min="3328" max="3328" width="9.5703125" style="167" customWidth="1"/>
    <col min="3329" max="3329" width="20.140625" style="167" customWidth="1"/>
    <col min="3330" max="3330" width="45" style="167" bestFit="1" customWidth="1"/>
    <col min="3331" max="3331" width="13" style="167" bestFit="1" customWidth="1"/>
    <col min="3332" max="3582" width="11.5703125" style="167"/>
    <col min="3583" max="3583" width="29.7109375" style="167" customWidth="1"/>
    <col min="3584" max="3584" width="9.5703125" style="167" customWidth="1"/>
    <col min="3585" max="3585" width="20.140625" style="167" customWidth="1"/>
    <col min="3586" max="3586" width="45" style="167" bestFit="1" customWidth="1"/>
    <col min="3587" max="3587" width="13" style="167" bestFit="1" customWidth="1"/>
    <col min="3588" max="3838" width="11.5703125" style="167"/>
    <col min="3839" max="3839" width="29.7109375" style="167" customWidth="1"/>
    <col min="3840" max="3840" width="9.5703125" style="167" customWidth="1"/>
    <col min="3841" max="3841" width="20.140625" style="167" customWidth="1"/>
    <col min="3842" max="3842" width="45" style="167" bestFit="1" customWidth="1"/>
    <col min="3843" max="3843" width="13" style="167" bestFit="1" customWidth="1"/>
    <col min="3844" max="4094" width="11.5703125" style="167"/>
    <col min="4095" max="4095" width="29.7109375" style="167" customWidth="1"/>
    <col min="4096" max="4096" width="9.5703125" style="167" customWidth="1"/>
    <col min="4097" max="4097" width="20.140625" style="167" customWidth="1"/>
    <col min="4098" max="4098" width="45" style="167" bestFit="1" customWidth="1"/>
    <col min="4099" max="4099" width="13" style="167" bestFit="1" customWidth="1"/>
    <col min="4100" max="4350" width="11.5703125" style="167"/>
    <col min="4351" max="4351" width="29.7109375" style="167" customWidth="1"/>
    <col min="4352" max="4352" width="9.5703125" style="167" customWidth="1"/>
    <col min="4353" max="4353" width="20.140625" style="167" customWidth="1"/>
    <col min="4354" max="4354" width="45" style="167" bestFit="1" customWidth="1"/>
    <col min="4355" max="4355" width="13" style="167" bestFit="1" customWidth="1"/>
    <col min="4356" max="4606" width="11.5703125" style="167"/>
    <col min="4607" max="4607" width="29.7109375" style="167" customWidth="1"/>
    <col min="4608" max="4608" width="9.5703125" style="167" customWidth="1"/>
    <col min="4609" max="4609" width="20.140625" style="167" customWidth="1"/>
    <col min="4610" max="4610" width="45" style="167" bestFit="1" customWidth="1"/>
    <col min="4611" max="4611" width="13" style="167" bestFit="1" customWidth="1"/>
    <col min="4612" max="4862" width="11.5703125" style="167"/>
    <col min="4863" max="4863" width="29.7109375" style="167" customWidth="1"/>
    <col min="4864" max="4864" width="9.5703125" style="167" customWidth="1"/>
    <col min="4865" max="4865" width="20.140625" style="167" customWidth="1"/>
    <col min="4866" max="4866" width="45" style="167" bestFit="1" customWidth="1"/>
    <col min="4867" max="4867" width="13" style="167" bestFit="1" customWidth="1"/>
    <col min="4868" max="5118" width="11.5703125" style="167"/>
    <col min="5119" max="5119" width="29.7109375" style="167" customWidth="1"/>
    <col min="5120" max="5120" width="9.5703125" style="167" customWidth="1"/>
    <col min="5121" max="5121" width="20.140625" style="167" customWidth="1"/>
    <col min="5122" max="5122" width="45" style="167" bestFit="1" customWidth="1"/>
    <col min="5123" max="5123" width="13" style="167" bestFit="1" customWidth="1"/>
    <col min="5124" max="5374" width="11.5703125" style="167"/>
    <col min="5375" max="5375" width="29.7109375" style="167" customWidth="1"/>
    <col min="5376" max="5376" width="9.5703125" style="167" customWidth="1"/>
    <col min="5377" max="5377" width="20.140625" style="167" customWidth="1"/>
    <col min="5378" max="5378" width="45" style="167" bestFit="1" customWidth="1"/>
    <col min="5379" max="5379" width="13" style="167" bestFit="1" customWidth="1"/>
    <col min="5380" max="5630" width="11.5703125" style="167"/>
    <col min="5631" max="5631" width="29.7109375" style="167" customWidth="1"/>
    <col min="5632" max="5632" width="9.5703125" style="167" customWidth="1"/>
    <col min="5633" max="5633" width="20.140625" style="167" customWidth="1"/>
    <col min="5634" max="5634" width="45" style="167" bestFit="1" customWidth="1"/>
    <col min="5635" max="5635" width="13" style="167" bestFit="1" customWidth="1"/>
    <col min="5636" max="5886" width="11.5703125" style="167"/>
    <col min="5887" max="5887" width="29.7109375" style="167" customWidth="1"/>
    <col min="5888" max="5888" width="9.5703125" style="167" customWidth="1"/>
    <col min="5889" max="5889" width="20.140625" style="167" customWidth="1"/>
    <col min="5890" max="5890" width="45" style="167" bestFit="1" customWidth="1"/>
    <col min="5891" max="5891" width="13" style="167" bestFit="1" customWidth="1"/>
    <col min="5892" max="6142" width="11.5703125" style="167"/>
    <col min="6143" max="6143" width="29.7109375" style="167" customWidth="1"/>
    <col min="6144" max="6144" width="9.5703125" style="167" customWidth="1"/>
    <col min="6145" max="6145" width="20.140625" style="167" customWidth="1"/>
    <col min="6146" max="6146" width="45" style="167" bestFit="1" customWidth="1"/>
    <col min="6147" max="6147" width="13" style="167" bestFit="1" customWidth="1"/>
    <col min="6148" max="6398" width="11.5703125" style="167"/>
    <col min="6399" max="6399" width="29.7109375" style="167" customWidth="1"/>
    <col min="6400" max="6400" width="9.5703125" style="167" customWidth="1"/>
    <col min="6401" max="6401" width="20.140625" style="167" customWidth="1"/>
    <col min="6402" max="6402" width="45" style="167" bestFit="1" customWidth="1"/>
    <col min="6403" max="6403" width="13" style="167" bestFit="1" customWidth="1"/>
    <col min="6404" max="6654" width="11.5703125" style="167"/>
    <col min="6655" max="6655" width="29.7109375" style="167" customWidth="1"/>
    <col min="6656" max="6656" width="9.5703125" style="167" customWidth="1"/>
    <col min="6657" max="6657" width="20.140625" style="167" customWidth="1"/>
    <col min="6658" max="6658" width="45" style="167" bestFit="1" customWidth="1"/>
    <col min="6659" max="6659" width="13" style="167" bestFit="1" customWidth="1"/>
    <col min="6660" max="6910" width="11.5703125" style="167"/>
    <col min="6911" max="6911" width="29.7109375" style="167" customWidth="1"/>
    <col min="6912" max="6912" width="9.5703125" style="167" customWidth="1"/>
    <col min="6913" max="6913" width="20.140625" style="167" customWidth="1"/>
    <col min="6914" max="6914" width="45" style="167" bestFit="1" customWidth="1"/>
    <col min="6915" max="6915" width="13" style="167" bestFit="1" customWidth="1"/>
    <col min="6916" max="7166" width="11.5703125" style="167"/>
    <col min="7167" max="7167" width="29.7109375" style="167" customWidth="1"/>
    <col min="7168" max="7168" width="9.5703125" style="167" customWidth="1"/>
    <col min="7169" max="7169" width="20.140625" style="167" customWidth="1"/>
    <col min="7170" max="7170" width="45" style="167" bestFit="1" customWidth="1"/>
    <col min="7171" max="7171" width="13" style="167" bestFit="1" customWidth="1"/>
    <col min="7172" max="7422" width="11.5703125" style="167"/>
    <col min="7423" max="7423" width="29.7109375" style="167" customWidth="1"/>
    <col min="7424" max="7424" width="9.5703125" style="167" customWidth="1"/>
    <col min="7425" max="7425" width="20.140625" style="167" customWidth="1"/>
    <col min="7426" max="7426" width="45" style="167" bestFit="1" customWidth="1"/>
    <col min="7427" max="7427" width="13" style="167" bestFit="1" customWidth="1"/>
    <col min="7428" max="7678" width="11.5703125" style="167"/>
    <col min="7679" max="7679" width="29.7109375" style="167" customWidth="1"/>
    <col min="7680" max="7680" width="9.5703125" style="167" customWidth="1"/>
    <col min="7681" max="7681" width="20.140625" style="167" customWidth="1"/>
    <col min="7682" max="7682" width="45" style="167" bestFit="1" customWidth="1"/>
    <col min="7683" max="7683" width="13" style="167" bestFit="1" customWidth="1"/>
    <col min="7684" max="7934" width="11.5703125" style="167"/>
    <col min="7935" max="7935" width="29.7109375" style="167" customWidth="1"/>
    <col min="7936" max="7936" width="9.5703125" style="167" customWidth="1"/>
    <col min="7937" max="7937" width="20.140625" style="167" customWidth="1"/>
    <col min="7938" max="7938" width="45" style="167" bestFit="1" customWidth="1"/>
    <col min="7939" max="7939" width="13" style="167" bestFit="1" customWidth="1"/>
    <col min="7940" max="8190" width="11.5703125" style="167"/>
    <col min="8191" max="8191" width="29.7109375" style="167" customWidth="1"/>
    <col min="8192" max="8192" width="9.5703125" style="167" customWidth="1"/>
    <col min="8193" max="8193" width="20.140625" style="167" customWidth="1"/>
    <col min="8194" max="8194" width="45" style="167" bestFit="1" customWidth="1"/>
    <col min="8195" max="8195" width="13" style="167" bestFit="1" customWidth="1"/>
    <col min="8196" max="8446" width="11.5703125" style="167"/>
    <col min="8447" max="8447" width="29.7109375" style="167" customWidth="1"/>
    <col min="8448" max="8448" width="9.5703125" style="167" customWidth="1"/>
    <col min="8449" max="8449" width="20.140625" style="167" customWidth="1"/>
    <col min="8450" max="8450" width="45" style="167" bestFit="1" customWidth="1"/>
    <col min="8451" max="8451" width="13" style="167" bestFit="1" customWidth="1"/>
    <col min="8452" max="8702" width="11.5703125" style="167"/>
    <col min="8703" max="8703" width="29.7109375" style="167" customWidth="1"/>
    <col min="8704" max="8704" width="9.5703125" style="167" customWidth="1"/>
    <col min="8705" max="8705" width="20.140625" style="167" customWidth="1"/>
    <col min="8706" max="8706" width="45" style="167" bestFit="1" customWidth="1"/>
    <col min="8707" max="8707" width="13" style="167" bestFit="1" customWidth="1"/>
    <col min="8708" max="8958" width="11.5703125" style="167"/>
    <col min="8959" max="8959" width="29.7109375" style="167" customWidth="1"/>
    <col min="8960" max="8960" width="9.5703125" style="167" customWidth="1"/>
    <col min="8961" max="8961" width="20.140625" style="167" customWidth="1"/>
    <col min="8962" max="8962" width="45" style="167" bestFit="1" customWidth="1"/>
    <col min="8963" max="8963" width="13" style="167" bestFit="1" customWidth="1"/>
    <col min="8964" max="9214" width="11.5703125" style="167"/>
    <col min="9215" max="9215" width="29.7109375" style="167" customWidth="1"/>
    <col min="9216" max="9216" width="9.5703125" style="167" customWidth="1"/>
    <col min="9217" max="9217" width="20.140625" style="167" customWidth="1"/>
    <col min="9218" max="9218" width="45" style="167" bestFit="1" customWidth="1"/>
    <col min="9219" max="9219" width="13" style="167" bestFit="1" customWidth="1"/>
    <col min="9220" max="9470" width="11.5703125" style="167"/>
    <col min="9471" max="9471" width="29.7109375" style="167" customWidth="1"/>
    <col min="9472" max="9472" width="9.5703125" style="167" customWidth="1"/>
    <col min="9473" max="9473" width="20.140625" style="167" customWidth="1"/>
    <col min="9474" max="9474" width="45" style="167" bestFit="1" customWidth="1"/>
    <col min="9475" max="9475" width="13" style="167" bestFit="1" customWidth="1"/>
    <col min="9476" max="9726" width="11.5703125" style="167"/>
    <col min="9727" max="9727" width="29.7109375" style="167" customWidth="1"/>
    <col min="9728" max="9728" width="9.5703125" style="167" customWidth="1"/>
    <col min="9729" max="9729" width="20.140625" style="167" customWidth="1"/>
    <col min="9730" max="9730" width="45" style="167" bestFit="1" customWidth="1"/>
    <col min="9731" max="9731" width="13" style="167" bestFit="1" customWidth="1"/>
    <col min="9732" max="9982" width="11.5703125" style="167"/>
    <col min="9983" max="9983" width="29.7109375" style="167" customWidth="1"/>
    <col min="9984" max="9984" width="9.5703125" style="167" customWidth="1"/>
    <col min="9985" max="9985" width="20.140625" style="167" customWidth="1"/>
    <col min="9986" max="9986" width="45" style="167" bestFit="1" customWidth="1"/>
    <col min="9987" max="9987" width="13" style="167" bestFit="1" customWidth="1"/>
    <col min="9988" max="10238" width="11.5703125" style="167"/>
    <col min="10239" max="10239" width="29.7109375" style="167" customWidth="1"/>
    <col min="10240" max="10240" width="9.5703125" style="167" customWidth="1"/>
    <col min="10241" max="10241" width="20.140625" style="167" customWidth="1"/>
    <col min="10242" max="10242" width="45" style="167" bestFit="1" customWidth="1"/>
    <col min="10243" max="10243" width="13" style="167" bestFit="1" customWidth="1"/>
    <col min="10244" max="10494" width="11.5703125" style="167"/>
    <col min="10495" max="10495" width="29.7109375" style="167" customWidth="1"/>
    <col min="10496" max="10496" width="9.5703125" style="167" customWidth="1"/>
    <col min="10497" max="10497" width="20.140625" style="167" customWidth="1"/>
    <col min="10498" max="10498" width="45" style="167" bestFit="1" customWidth="1"/>
    <col min="10499" max="10499" width="13" style="167" bestFit="1" customWidth="1"/>
    <col min="10500" max="10750" width="11.5703125" style="167"/>
    <col min="10751" max="10751" width="29.7109375" style="167" customWidth="1"/>
    <col min="10752" max="10752" width="9.5703125" style="167" customWidth="1"/>
    <col min="10753" max="10753" width="20.140625" style="167" customWidth="1"/>
    <col min="10754" max="10754" width="45" style="167" bestFit="1" customWidth="1"/>
    <col min="10755" max="10755" width="13" style="167" bestFit="1" customWidth="1"/>
    <col min="10756" max="11006" width="11.5703125" style="167"/>
    <col min="11007" max="11007" width="29.7109375" style="167" customWidth="1"/>
    <col min="11008" max="11008" width="9.5703125" style="167" customWidth="1"/>
    <col min="11009" max="11009" width="20.140625" style="167" customWidth="1"/>
    <col min="11010" max="11010" width="45" style="167" bestFit="1" customWidth="1"/>
    <col min="11011" max="11011" width="13" style="167" bestFit="1" customWidth="1"/>
    <col min="11012" max="11262" width="11.5703125" style="167"/>
    <col min="11263" max="11263" width="29.7109375" style="167" customWidth="1"/>
    <col min="11264" max="11264" width="9.5703125" style="167" customWidth="1"/>
    <col min="11265" max="11265" width="20.140625" style="167" customWidth="1"/>
    <col min="11266" max="11266" width="45" style="167" bestFit="1" customWidth="1"/>
    <col min="11267" max="11267" width="13" style="167" bestFit="1" customWidth="1"/>
    <col min="11268" max="11518" width="11.5703125" style="167"/>
    <col min="11519" max="11519" width="29.7109375" style="167" customWidth="1"/>
    <col min="11520" max="11520" width="9.5703125" style="167" customWidth="1"/>
    <col min="11521" max="11521" width="20.140625" style="167" customWidth="1"/>
    <col min="11522" max="11522" width="45" style="167" bestFit="1" customWidth="1"/>
    <col min="11523" max="11523" width="13" style="167" bestFit="1" customWidth="1"/>
    <col min="11524" max="11774" width="11.5703125" style="167"/>
    <col min="11775" max="11775" width="29.7109375" style="167" customWidth="1"/>
    <col min="11776" max="11776" width="9.5703125" style="167" customWidth="1"/>
    <col min="11777" max="11777" width="20.140625" style="167" customWidth="1"/>
    <col min="11778" max="11778" width="45" style="167" bestFit="1" customWidth="1"/>
    <col min="11779" max="11779" width="13" style="167" bestFit="1" customWidth="1"/>
    <col min="11780" max="12030" width="11.5703125" style="167"/>
    <col min="12031" max="12031" width="29.7109375" style="167" customWidth="1"/>
    <col min="12032" max="12032" width="9.5703125" style="167" customWidth="1"/>
    <col min="12033" max="12033" width="20.140625" style="167" customWidth="1"/>
    <col min="12034" max="12034" width="45" style="167" bestFit="1" customWidth="1"/>
    <col min="12035" max="12035" width="13" style="167" bestFit="1" customWidth="1"/>
    <col min="12036" max="12286" width="11.5703125" style="167"/>
    <col min="12287" max="12287" width="29.7109375" style="167" customWidth="1"/>
    <col min="12288" max="12288" width="9.5703125" style="167" customWidth="1"/>
    <col min="12289" max="12289" width="20.140625" style="167" customWidth="1"/>
    <col min="12290" max="12290" width="45" style="167" bestFit="1" customWidth="1"/>
    <col min="12291" max="12291" width="13" style="167" bestFit="1" customWidth="1"/>
    <col min="12292" max="12542" width="11.5703125" style="167"/>
    <col min="12543" max="12543" width="29.7109375" style="167" customWidth="1"/>
    <col min="12544" max="12544" width="9.5703125" style="167" customWidth="1"/>
    <col min="12545" max="12545" width="20.140625" style="167" customWidth="1"/>
    <col min="12546" max="12546" width="45" style="167" bestFit="1" customWidth="1"/>
    <col min="12547" max="12547" width="13" style="167" bestFit="1" customWidth="1"/>
    <col min="12548" max="12798" width="11.5703125" style="167"/>
    <col min="12799" max="12799" width="29.7109375" style="167" customWidth="1"/>
    <col min="12800" max="12800" width="9.5703125" style="167" customWidth="1"/>
    <col min="12801" max="12801" width="20.140625" style="167" customWidth="1"/>
    <col min="12802" max="12802" width="45" style="167" bestFit="1" customWidth="1"/>
    <col min="12803" max="12803" width="13" style="167" bestFit="1" customWidth="1"/>
    <col min="12804" max="13054" width="11.5703125" style="167"/>
    <col min="13055" max="13055" width="29.7109375" style="167" customWidth="1"/>
    <col min="13056" max="13056" width="9.5703125" style="167" customWidth="1"/>
    <col min="13057" max="13057" width="20.140625" style="167" customWidth="1"/>
    <col min="13058" max="13058" width="45" style="167" bestFit="1" customWidth="1"/>
    <col min="13059" max="13059" width="13" style="167" bestFit="1" customWidth="1"/>
    <col min="13060" max="13310" width="11.5703125" style="167"/>
    <col min="13311" max="13311" width="29.7109375" style="167" customWidth="1"/>
    <col min="13312" max="13312" width="9.5703125" style="167" customWidth="1"/>
    <col min="13313" max="13313" width="20.140625" style="167" customWidth="1"/>
    <col min="13314" max="13314" width="45" style="167" bestFit="1" customWidth="1"/>
    <col min="13315" max="13315" width="13" style="167" bestFit="1" customWidth="1"/>
    <col min="13316" max="13566" width="11.5703125" style="167"/>
    <col min="13567" max="13567" width="29.7109375" style="167" customWidth="1"/>
    <col min="13568" max="13568" width="9.5703125" style="167" customWidth="1"/>
    <col min="13569" max="13569" width="20.140625" style="167" customWidth="1"/>
    <col min="13570" max="13570" width="45" style="167" bestFit="1" customWidth="1"/>
    <col min="13571" max="13571" width="13" style="167" bestFit="1" customWidth="1"/>
    <col min="13572" max="13822" width="11.5703125" style="167"/>
    <col min="13823" max="13823" width="29.7109375" style="167" customWidth="1"/>
    <col min="13824" max="13824" width="9.5703125" style="167" customWidth="1"/>
    <col min="13825" max="13825" width="20.140625" style="167" customWidth="1"/>
    <col min="13826" max="13826" width="45" style="167" bestFit="1" customWidth="1"/>
    <col min="13827" max="13827" width="13" style="167" bestFit="1" customWidth="1"/>
    <col min="13828" max="14078" width="11.5703125" style="167"/>
    <col min="14079" max="14079" width="29.7109375" style="167" customWidth="1"/>
    <col min="14080" max="14080" width="9.5703125" style="167" customWidth="1"/>
    <col min="14081" max="14081" width="20.140625" style="167" customWidth="1"/>
    <col min="14082" max="14082" width="45" style="167" bestFit="1" customWidth="1"/>
    <col min="14083" max="14083" width="13" style="167" bestFit="1" customWidth="1"/>
    <col min="14084" max="14334" width="11.5703125" style="167"/>
    <col min="14335" max="14335" width="29.7109375" style="167" customWidth="1"/>
    <col min="14336" max="14336" width="9.5703125" style="167" customWidth="1"/>
    <col min="14337" max="14337" width="20.140625" style="167" customWidth="1"/>
    <col min="14338" max="14338" width="45" style="167" bestFit="1" customWidth="1"/>
    <col min="14339" max="14339" width="13" style="167" bestFit="1" customWidth="1"/>
    <col min="14340" max="14590" width="11.5703125" style="167"/>
    <col min="14591" max="14591" width="29.7109375" style="167" customWidth="1"/>
    <col min="14592" max="14592" width="9.5703125" style="167" customWidth="1"/>
    <col min="14593" max="14593" width="20.140625" style="167" customWidth="1"/>
    <col min="14594" max="14594" width="45" style="167" bestFit="1" customWidth="1"/>
    <col min="14595" max="14595" width="13" style="167" bestFit="1" customWidth="1"/>
    <col min="14596" max="14846" width="11.5703125" style="167"/>
    <col min="14847" max="14847" width="29.7109375" style="167" customWidth="1"/>
    <col min="14848" max="14848" width="9.5703125" style="167" customWidth="1"/>
    <col min="14849" max="14849" width="20.140625" style="167" customWidth="1"/>
    <col min="14850" max="14850" width="45" style="167" bestFit="1" customWidth="1"/>
    <col min="14851" max="14851" width="13" style="167" bestFit="1" customWidth="1"/>
    <col min="14852" max="15102" width="11.5703125" style="167"/>
    <col min="15103" max="15103" width="29.7109375" style="167" customWidth="1"/>
    <col min="15104" max="15104" width="9.5703125" style="167" customWidth="1"/>
    <col min="15105" max="15105" width="20.140625" style="167" customWidth="1"/>
    <col min="15106" max="15106" width="45" style="167" bestFit="1" customWidth="1"/>
    <col min="15107" max="15107" width="13" style="167" bestFit="1" customWidth="1"/>
    <col min="15108" max="15358" width="11.5703125" style="167"/>
    <col min="15359" max="15359" width="29.7109375" style="167" customWidth="1"/>
    <col min="15360" max="15360" width="9.5703125" style="167" customWidth="1"/>
    <col min="15361" max="15361" width="20.140625" style="167" customWidth="1"/>
    <col min="15362" max="15362" width="45" style="167" bestFit="1" customWidth="1"/>
    <col min="15363" max="15363" width="13" style="167" bestFit="1" customWidth="1"/>
    <col min="15364" max="15614" width="11.5703125" style="167"/>
    <col min="15615" max="15615" width="29.7109375" style="167" customWidth="1"/>
    <col min="15616" max="15616" width="9.5703125" style="167" customWidth="1"/>
    <col min="15617" max="15617" width="20.140625" style="167" customWidth="1"/>
    <col min="15618" max="15618" width="45" style="167" bestFit="1" customWidth="1"/>
    <col min="15619" max="15619" width="13" style="167" bestFit="1" customWidth="1"/>
    <col min="15620" max="15870" width="11.5703125" style="167"/>
    <col min="15871" max="15871" width="29.7109375" style="167" customWidth="1"/>
    <col min="15872" max="15872" width="9.5703125" style="167" customWidth="1"/>
    <col min="15873" max="15873" width="20.140625" style="167" customWidth="1"/>
    <col min="15874" max="15874" width="45" style="167" bestFit="1" customWidth="1"/>
    <col min="15875" max="15875" width="13" style="167" bestFit="1" customWidth="1"/>
    <col min="15876" max="16126" width="11.5703125" style="167"/>
    <col min="16127" max="16127" width="29.7109375" style="167" customWidth="1"/>
    <col min="16128" max="16128" width="9.5703125" style="167" customWidth="1"/>
    <col min="16129" max="16129" width="20.140625" style="167" customWidth="1"/>
    <col min="16130" max="16130" width="45" style="167" bestFit="1" customWidth="1"/>
    <col min="16131" max="16131" width="13" style="167" bestFit="1" customWidth="1"/>
    <col min="16132" max="16384" width="11.5703125" style="167"/>
  </cols>
  <sheetData>
    <row r="1" spans="1:6" x14ac:dyDescent="0.25">
      <c r="A1" s="166" t="s">
        <v>95</v>
      </c>
      <c r="B1" s="167" t="s">
        <v>96</v>
      </c>
      <c r="C1" s="168" t="s">
        <v>97</v>
      </c>
      <c r="D1" s="167" t="s">
        <v>98</v>
      </c>
      <c r="E1" s="167" t="s">
        <v>99</v>
      </c>
      <c r="F1" s="169" t="s">
        <v>100</v>
      </c>
    </row>
    <row r="2" spans="1:6" outlineLevel="2" x14ac:dyDescent="0.25">
      <c r="A2" s="166">
        <v>101</v>
      </c>
      <c r="B2" s="167" t="s">
        <v>101</v>
      </c>
      <c r="C2" s="167">
        <v>1</v>
      </c>
      <c r="D2" s="167" t="s">
        <v>102</v>
      </c>
      <c r="E2" s="167" t="s">
        <v>103</v>
      </c>
      <c r="F2" s="169">
        <v>5111.7579908675798</v>
      </c>
    </row>
    <row r="3" spans="1:6" outlineLevel="2" x14ac:dyDescent="0.25">
      <c r="A3" s="166">
        <v>101</v>
      </c>
      <c r="B3" s="167" t="s">
        <v>104</v>
      </c>
      <c r="C3" s="167">
        <v>1</v>
      </c>
      <c r="D3" s="167" t="s">
        <v>102</v>
      </c>
      <c r="E3" s="167" t="s">
        <v>105</v>
      </c>
      <c r="F3" s="169">
        <v>51000</v>
      </c>
    </row>
    <row r="4" spans="1:6" outlineLevel="2" x14ac:dyDescent="0.25">
      <c r="A4" s="166">
        <v>101</v>
      </c>
      <c r="B4" s="167" t="s">
        <v>106</v>
      </c>
      <c r="C4" s="167">
        <v>1</v>
      </c>
      <c r="D4" s="167" t="s">
        <v>102</v>
      </c>
      <c r="E4" s="167" t="s">
        <v>107</v>
      </c>
      <c r="F4" s="169">
        <v>17424.88584474886</v>
      </c>
    </row>
    <row r="5" spans="1:6" outlineLevel="1" x14ac:dyDescent="0.25">
      <c r="C5" s="167">
        <f>SUBTOTAL(9,C2:C4)</f>
        <v>3</v>
      </c>
      <c r="D5" s="170" t="s">
        <v>108</v>
      </c>
      <c r="F5" s="169">
        <f>SUBTOTAL(9,F2:F4)</f>
        <v>73536.643835616444</v>
      </c>
    </row>
    <row r="6" spans="1:6" outlineLevel="2" x14ac:dyDescent="0.25">
      <c r="A6" s="166">
        <v>101</v>
      </c>
      <c r="B6" s="167" t="s">
        <v>109</v>
      </c>
      <c r="C6" s="167">
        <v>1</v>
      </c>
      <c r="D6" s="167" t="s">
        <v>110</v>
      </c>
      <c r="E6" s="167" t="s">
        <v>111</v>
      </c>
      <c r="F6" s="169">
        <v>17383.2</v>
      </c>
    </row>
    <row r="7" spans="1:6" outlineLevel="1" x14ac:dyDescent="0.25">
      <c r="C7" s="167">
        <f>SUBTOTAL(9,C6:C6)</f>
        <v>1</v>
      </c>
      <c r="D7" s="170" t="s">
        <v>112</v>
      </c>
      <c r="F7" s="169">
        <f>SUBTOTAL(9,F6:F6)</f>
        <v>17383.2</v>
      </c>
    </row>
    <row r="8" spans="1:6" outlineLevel="2" x14ac:dyDescent="0.25">
      <c r="A8" s="166">
        <v>101</v>
      </c>
      <c r="B8" s="167" t="s">
        <v>106</v>
      </c>
      <c r="C8" s="167">
        <v>1</v>
      </c>
      <c r="D8" s="167" t="s">
        <v>113</v>
      </c>
      <c r="E8" s="167" t="s">
        <v>114</v>
      </c>
      <c r="F8" s="169">
        <v>18993.378995433792</v>
      </c>
    </row>
    <row r="9" spans="1:6" outlineLevel="1" x14ac:dyDescent="0.25">
      <c r="C9" s="167">
        <f>SUBTOTAL(9,C8:C8)</f>
        <v>1</v>
      </c>
      <c r="D9" s="170" t="s">
        <v>115</v>
      </c>
      <c r="F9" s="169">
        <f>SUBTOTAL(9,F8:F8)</f>
        <v>18993.378995433792</v>
      </c>
    </row>
    <row r="10" spans="1:6" outlineLevel="2" x14ac:dyDescent="0.25">
      <c r="A10" s="166">
        <v>102</v>
      </c>
      <c r="B10" s="167" t="s">
        <v>109</v>
      </c>
      <c r="C10" s="167">
        <v>1</v>
      </c>
      <c r="D10" s="167" t="s">
        <v>116</v>
      </c>
      <c r="E10" s="167" t="s">
        <v>117</v>
      </c>
      <c r="F10" s="169">
        <v>20336.528767123287</v>
      </c>
    </row>
    <row r="11" spans="1:6" outlineLevel="2" x14ac:dyDescent="0.25">
      <c r="A11" s="166">
        <v>102</v>
      </c>
      <c r="B11" s="167" t="s">
        <v>118</v>
      </c>
      <c r="C11" s="167">
        <v>1</v>
      </c>
      <c r="D11" s="167" t="s">
        <v>116</v>
      </c>
      <c r="E11" s="167" t="s">
        <v>119</v>
      </c>
      <c r="F11" s="169">
        <v>1774.5103881278537</v>
      </c>
    </row>
    <row r="12" spans="1:6" outlineLevel="2" x14ac:dyDescent="0.25">
      <c r="A12" s="166">
        <v>102</v>
      </c>
      <c r="B12" s="167" t="s">
        <v>109</v>
      </c>
      <c r="C12" s="167">
        <v>1</v>
      </c>
      <c r="D12" s="167" t="s">
        <v>116</v>
      </c>
      <c r="E12" s="167" t="s">
        <v>120</v>
      </c>
      <c r="F12" s="169">
        <v>17572.64887671233</v>
      </c>
    </row>
    <row r="13" spans="1:6" outlineLevel="2" x14ac:dyDescent="0.25">
      <c r="A13" s="166">
        <v>102</v>
      </c>
      <c r="B13" s="167" t="s">
        <v>121</v>
      </c>
      <c r="C13" s="167">
        <v>1</v>
      </c>
      <c r="D13" s="167" t="s">
        <v>116</v>
      </c>
      <c r="E13" s="167" t="s">
        <v>122</v>
      </c>
      <c r="F13" s="169">
        <v>10408.271621004566</v>
      </c>
    </row>
    <row r="14" spans="1:6" outlineLevel="2" x14ac:dyDescent="0.25">
      <c r="A14" s="166">
        <v>102</v>
      </c>
      <c r="B14" s="167" t="s">
        <v>123</v>
      </c>
      <c r="C14" s="167">
        <v>1</v>
      </c>
      <c r="D14" s="167" t="s">
        <v>116</v>
      </c>
      <c r="E14" s="167" t="s">
        <v>124</v>
      </c>
      <c r="F14" s="169">
        <v>7077.4983926940631</v>
      </c>
    </row>
    <row r="15" spans="1:6" outlineLevel="2" x14ac:dyDescent="0.25">
      <c r="A15" s="166">
        <v>102</v>
      </c>
      <c r="B15" s="167" t="s">
        <v>125</v>
      </c>
      <c r="C15" s="167">
        <v>1</v>
      </c>
      <c r="D15" s="167" t="s">
        <v>116</v>
      </c>
      <c r="E15" s="167" t="s">
        <v>126</v>
      </c>
      <c r="F15" s="169">
        <v>17867.230273972604</v>
      </c>
    </row>
    <row r="16" spans="1:6" outlineLevel="2" x14ac:dyDescent="0.25">
      <c r="A16" s="166">
        <v>102</v>
      </c>
      <c r="B16" s="167" t="s">
        <v>109</v>
      </c>
      <c r="C16" s="167">
        <v>1</v>
      </c>
      <c r="D16" s="167" t="s">
        <v>116</v>
      </c>
      <c r="E16" s="167" t="s">
        <v>127</v>
      </c>
      <c r="F16" s="169">
        <v>17383.2</v>
      </c>
    </row>
    <row r="17" spans="1:6" outlineLevel="2" x14ac:dyDescent="0.25">
      <c r="A17" s="166">
        <v>102</v>
      </c>
      <c r="B17" s="167" t="s">
        <v>125</v>
      </c>
      <c r="C17" s="167">
        <v>1</v>
      </c>
      <c r="D17" s="167" t="s">
        <v>116</v>
      </c>
      <c r="E17" s="167" t="s">
        <v>128</v>
      </c>
      <c r="F17" s="169">
        <v>13103.562849315069</v>
      </c>
    </row>
    <row r="18" spans="1:6" outlineLevel="2" x14ac:dyDescent="0.25">
      <c r="A18" s="166">
        <v>102</v>
      </c>
      <c r="B18" s="167" t="s">
        <v>129</v>
      </c>
      <c r="C18" s="167">
        <v>1</v>
      </c>
      <c r="D18" s="167" t="s">
        <v>116</v>
      </c>
      <c r="E18" s="167" t="s">
        <v>130</v>
      </c>
      <c r="F18" s="169">
        <v>11044.372146118722</v>
      </c>
    </row>
    <row r="19" spans="1:6" outlineLevel="2" x14ac:dyDescent="0.25">
      <c r="A19" s="166">
        <v>102</v>
      </c>
      <c r="B19" s="167" t="s">
        <v>129</v>
      </c>
      <c r="C19" s="167">
        <v>1</v>
      </c>
      <c r="D19" s="167" t="s">
        <v>116</v>
      </c>
      <c r="E19" s="167" t="s">
        <v>131</v>
      </c>
      <c r="F19" s="169">
        <v>12151.14816894977</v>
      </c>
    </row>
    <row r="20" spans="1:6" outlineLevel="1" x14ac:dyDescent="0.25">
      <c r="C20" s="167">
        <f>SUBTOTAL(9,C10:C19)</f>
        <v>10</v>
      </c>
      <c r="D20" s="170" t="s">
        <v>132</v>
      </c>
      <c r="F20" s="169">
        <f>SUBTOTAL(9,F10:F19)</f>
        <v>128718.97148401827</v>
      </c>
    </row>
    <row r="21" spans="1:6" outlineLevel="2" x14ac:dyDescent="0.25">
      <c r="A21" s="166">
        <v>102</v>
      </c>
      <c r="B21" s="167" t="s">
        <v>121</v>
      </c>
      <c r="C21" s="167">
        <v>1</v>
      </c>
      <c r="D21" s="167" t="s">
        <v>133</v>
      </c>
      <c r="E21" s="167" t="s">
        <v>134</v>
      </c>
      <c r="F21" s="169">
        <v>9535.1911757990874</v>
      </c>
    </row>
    <row r="22" spans="1:6" outlineLevel="2" x14ac:dyDescent="0.25">
      <c r="A22" s="166">
        <v>102</v>
      </c>
      <c r="B22" s="167" t="s">
        <v>123</v>
      </c>
      <c r="C22" s="167">
        <v>1</v>
      </c>
      <c r="D22" s="167" t="s">
        <v>133</v>
      </c>
      <c r="E22" s="167" t="s">
        <v>135</v>
      </c>
      <c r="F22" s="169">
        <v>23148.5</v>
      </c>
    </row>
    <row r="23" spans="1:6" outlineLevel="2" x14ac:dyDescent="0.25">
      <c r="A23" s="166">
        <v>102</v>
      </c>
      <c r="B23" s="167" t="s">
        <v>136</v>
      </c>
      <c r="C23" s="167">
        <v>1</v>
      </c>
      <c r="D23" s="167" t="s">
        <v>133</v>
      </c>
      <c r="E23" s="167" t="s">
        <v>137</v>
      </c>
      <c r="F23" s="169">
        <v>17572.64887671233</v>
      </c>
    </row>
    <row r="24" spans="1:6" outlineLevel="2" x14ac:dyDescent="0.25">
      <c r="A24" s="166">
        <v>102</v>
      </c>
      <c r="B24" s="167" t="s">
        <v>138</v>
      </c>
      <c r="C24" s="167">
        <v>1</v>
      </c>
      <c r="D24" s="167" t="s">
        <v>133</v>
      </c>
      <c r="E24" s="167" t="s">
        <v>139</v>
      </c>
      <c r="F24" s="169">
        <v>17572.64887671233</v>
      </c>
    </row>
    <row r="25" spans="1:6" outlineLevel="1" x14ac:dyDescent="0.25">
      <c r="C25" s="167">
        <f>SUBTOTAL(9,C21:C24)</f>
        <v>4</v>
      </c>
      <c r="D25" s="170" t="s">
        <v>140</v>
      </c>
      <c r="F25" s="169">
        <f>SUBTOTAL(9,F21:F24)</f>
        <v>67828.988929223749</v>
      </c>
    </row>
    <row r="26" spans="1:6" outlineLevel="2" x14ac:dyDescent="0.25">
      <c r="A26" s="166">
        <v>102</v>
      </c>
      <c r="B26" s="167" t="s">
        <v>121</v>
      </c>
      <c r="C26" s="167">
        <v>1</v>
      </c>
      <c r="D26" s="167" t="s">
        <v>141</v>
      </c>
      <c r="E26" s="167" t="s">
        <v>142</v>
      </c>
      <c r="F26" s="169">
        <v>10517.678938356165</v>
      </c>
    </row>
    <row r="27" spans="1:6" outlineLevel="2" x14ac:dyDescent="0.25">
      <c r="A27" s="166">
        <v>102</v>
      </c>
      <c r="B27" s="167" t="s">
        <v>143</v>
      </c>
      <c r="C27" s="167">
        <v>1</v>
      </c>
      <c r="D27" s="167" t="s">
        <v>141</v>
      </c>
      <c r="E27" s="167" t="s">
        <v>144</v>
      </c>
      <c r="F27" s="169">
        <v>9150.0563926940631</v>
      </c>
    </row>
    <row r="28" spans="1:6" outlineLevel="2" x14ac:dyDescent="0.25">
      <c r="A28" s="166">
        <v>102</v>
      </c>
      <c r="B28" s="167" t="s">
        <v>145</v>
      </c>
      <c r="C28" s="167">
        <v>1</v>
      </c>
      <c r="D28" s="167" t="s">
        <v>141</v>
      </c>
      <c r="E28" s="167" t="s">
        <v>146</v>
      </c>
      <c r="F28" s="169">
        <v>3230.6126301369868</v>
      </c>
    </row>
    <row r="29" spans="1:6" outlineLevel="2" x14ac:dyDescent="0.25">
      <c r="A29" s="166">
        <v>102</v>
      </c>
      <c r="B29" s="167" t="s">
        <v>109</v>
      </c>
      <c r="C29" s="167">
        <v>1</v>
      </c>
      <c r="D29" s="167" t="s">
        <v>141</v>
      </c>
      <c r="E29" s="167" t="s">
        <v>147</v>
      </c>
      <c r="F29" s="169">
        <v>17383.2</v>
      </c>
    </row>
    <row r="30" spans="1:6" outlineLevel="2" x14ac:dyDescent="0.25">
      <c r="A30" s="166">
        <v>102</v>
      </c>
      <c r="B30" s="167" t="s">
        <v>143</v>
      </c>
      <c r="C30" s="167">
        <v>1</v>
      </c>
      <c r="D30" s="167" t="s">
        <v>141</v>
      </c>
      <c r="E30" s="167" t="s">
        <v>148</v>
      </c>
      <c r="F30" s="169">
        <v>9150.0563926940631</v>
      </c>
    </row>
    <row r="31" spans="1:6" outlineLevel="2" x14ac:dyDescent="0.25">
      <c r="A31" s="166">
        <v>102</v>
      </c>
      <c r="B31" s="167" t="s">
        <v>145</v>
      </c>
      <c r="C31" s="167">
        <v>1</v>
      </c>
      <c r="D31" s="167" t="s">
        <v>141</v>
      </c>
      <c r="E31" s="167" t="s">
        <v>149</v>
      </c>
      <c r="F31" s="169">
        <v>9556.7449526255732</v>
      </c>
    </row>
    <row r="32" spans="1:6" outlineLevel="2" x14ac:dyDescent="0.25">
      <c r="A32" s="166">
        <v>102</v>
      </c>
      <c r="B32" s="167" t="s">
        <v>145</v>
      </c>
      <c r="C32" s="167">
        <v>1</v>
      </c>
      <c r="D32" s="167" t="s">
        <v>141</v>
      </c>
      <c r="E32" s="167" t="s">
        <v>150</v>
      </c>
      <c r="F32" s="169">
        <v>7040.295077054795</v>
      </c>
    </row>
    <row r="33" spans="1:9" outlineLevel="2" x14ac:dyDescent="0.25">
      <c r="A33" s="166">
        <v>102</v>
      </c>
      <c r="B33" s="167" t="s">
        <v>143</v>
      </c>
      <c r="C33" s="167">
        <v>1</v>
      </c>
      <c r="D33" s="167" t="s">
        <v>141</v>
      </c>
      <c r="E33" s="167" t="s">
        <v>151</v>
      </c>
      <c r="F33" s="169">
        <v>9150.0563926940631</v>
      </c>
    </row>
    <row r="34" spans="1:9" outlineLevel="2" x14ac:dyDescent="0.25">
      <c r="A34" s="166">
        <v>102</v>
      </c>
      <c r="B34" s="167" t="s">
        <v>143</v>
      </c>
      <c r="C34" s="167">
        <v>1</v>
      </c>
      <c r="D34" s="167" t="s">
        <v>141</v>
      </c>
      <c r="E34" s="167" t="s">
        <v>152</v>
      </c>
      <c r="F34" s="169">
        <v>10962.905365296803</v>
      </c>
    </row>
    <row r="35" spans="1:9" outlineLevel="2" x14ac:dyDescent="0.25">
      <c r="A35" s="166">
        <v>102</v>
      </c>
      <c r="B35" s="167" t="s">
        <v>138</v>
      </c>
      <c r="C35" s="167">
        <v>1</v>
      </c>
      <c r="D35" s="167" t="s">
        <v>141</v>
      </c>
      <c r="E35" s="167" t="s">
        <v>153</v>
      </c>
      <c r="F35" s="169">
        <v>19608.949589041094</v>
      </c>
    </row>
    <row r="36" spans="1:9" outlineLevel="2" x14ac:dyDescent="0.25">
      <c r="A36" s="166">
        <v>102</v>
      </c>
      <c r="B36" s="167" t="s">
        <v>154</v>
      </c>
      <c r="C36" s="167">
        <v>1</v>
      </c>
      <c r="D36" s="167" t="s">
        <v>141</v>
      </c>
      <c r="E36" s="167" t="s">
        <v>155</v>
      </c>
      <c r="F36" s="169">
        <v>9254.3037077625559</v>
      </c>
    </row>
    <row r="37" spans="1:9" outlineLevel="2" x14ac:dyDescent="0.25">
      <c r="A37" s="166">
        <v>102</v>
      </c>
      <c r="B37" s="167" t="s">
        <v>118</v>
      </c>
      <c r="C37" s="167">
        <v>1</v>
      </c>
      <c r="D37" s="167" t="s">
        <v>141</v>
      </c>
      <c r="E37" s="167" t="s">
        <v>156</v>
      </c>
      <c r="F37" s="169">
        <v>16075.207086986302</v>
      </c>
    </row>
    <row r="38" spans="1:9" outlineLevel="2" x14ac:dyDescent="0.25">
      <c r="A38" s="166">
        <v>102</v>
      </c>
      <c r="B38" s="167" t="s">
        <v>143</v>
      </c>
      <c r="C38" s="167">
        <v>1</v>
      </c>
      <c r="D38" s="167" t="s">
        <v>141</v>
      </c>
      <c r="E38" s="167" t="s">
        <v>157</v>
      </c>
      <c r="F38" s="169">
        <v>1525.8242009132421</v>
      </c>
    </row>
    <row r="39" spans="1:9" outlineLevel="2" x14ac:dyDescent="0.25">
      <c r="A39" s="166">
        <v>102</v>
      </c>
      <c r="B39" s="167" t="s">
        <v>158</v>
      </c>
      <c r="C39" s="167">
        <v>1</v>
      </c>
      <c r="D39" s="167" t="s">
        <v>141</v>
      </c>
      <c r="E39" s="167" t="s">
        <v>159</v>
      </c>
      <c r="F39" s="169">
        <v>1196.027397260274</v>
      </c>
    </row>
    <row r="40" spans="1:9" outlineLevel="1" x14ac:dyDescent="0.25">
      <c r="C40" s="167">
        <f>SUBTOTAL(9,C26:C39)</f>
        <v>14</v>
      </c>
      <c r="D40" s="170" t="s">
        <v>160</v>
      </c>
      <c r="F40" s="169">
        <f>SUBTOTAL(9,F26:F39)</f>
        <v>133801.91812351599</v>
      </c>
    </row>
    <row r="41" spans="1:9" outlineLevel="2" x14ac:dyDescent="0.25">
      <c r="A41" s="166">
        <v>201</v>
      </c>
      <c r="B41" s="167" t="s">
        <v>161</v>
      </c>
      <c r="C41" s="167">
        <v>1</v>
      </c>
      <c r="D41" s="167" t="s">
        <v>162</v>
      </c>
      <c r="E41" s="167" t="s">
        <v>163</v>
      </c>
      <c r="F41" s="169">
        <v>16176.383275684932</v>
      </c>
    </row>
    <row r="42" spans="1:9" outlineLevel="2" x14ac:dyDescent="0.25">
      <c r="A42" s="166">
        <v>201</v>
      </c>
      <c r="B42" s="167" t="s">
        <v>161</v>
      </c>
      <c r="C42" s="167">
        <v>1</v>
      </c>
      <c r="D42" s="167" t="s">
        <v>162</v>
      </c>
      <c r="E42" s="167" t="s">
        <v>164</v>
      </c>
      <c r="F42" s="169">
        <v>16176.383275684932</v>
      </c>
    </row>
    <row r="43" spans="1:9" outlineLevel="2" x14ac:dyDescent="0.25">
      <c r="A43" s="166">
        <v>201</v>
      </c>
      <c r="B43" s="167" t="s">
        <v>154</v>
      </c>
      <c r="C43" s="167">
        <v>1</v>
      </c>
      <c r="D43" s="167" t="s">
        <v>162</v>
      </c>
      <c r="E43" s="167" t="s">
        <v>165</v>
      </c>
      <c r="F43" s="169">
        <v>4381.8780639269407</v>
      </c>
    </row>
    <row r="44" spans="1:9" outlineLevel="2" x14ac:dyDescent="0.25">
      <c r="A44" s="166">
        <v>201</v>
      </c>
      <c r="B44" s="167" t="s">
        <v>166</v>
      </c>
      <c r="C44" s="167">
        <v>1</v>
      </c>
      <c r="D44" s="167" t="s">
        <v>162</v>
      </c>
      <c r="E44" s="167" t="s">
        <v>167</v>
      </c>
      <c r="F44" s="169">
        <v>21000</v>
      </c>
    </row>
    <row r="45" spans="1:9" outlineLevel="2" x14ac:dyDescent="0.25">
      <c r="A45" s="166">
        <v>201</v>
      </c>
      <c r="B45" s="167" t="s">
        <v>168</v>
      </c>
      <c r="C45" s="167">
        <v>1</v>
      </c>
      <c r="D45" s="167" t="s">
        <v>162</v>
      </c>
      <c r="E45" s="167" t="s">
        <v>169</v>
      </c>
      <c r="F45" s="169">
        <v>16818.551638127854</v>
      </c>
    </row>
    <row r="46" spans="1:9" outlineLevel="2" x14ac:dyDescent="0.25">
      <c r="A46" s="166">
        <v>201</v>
      </c>
      <c r="B46" s="167" t="s">
        <v>138</v>
      </c>
      <c r="C46" s="167">
        <v>1</v>
      </c>
      <c r="D46" s="167" t="s">
        <v>162</v>
      </c>
      <c r="E46" s="167" t="s">
        <v>170</v>
      </c>
      <c r="F46" s="169">
        <v>20504.608767123285</v>
      </c>
    </row>
    <row r="47" spans="1:9" outlineLevel="2" x14ac:dyDescent="0.25">
      <c r="A47" s="166">
        <v>201</v>
      </c>
      <c r="B47" s="167" t="s">
        <v>145</v>
      </c>
      <c r="C47" s="167">
        <v>1</v>
      </c>
      <c r="D47" s="167" t="s">
        <v>162</v>
      </c>
      <c r="E47" s="167" t="s">
        <v>171</v>
      </c>
      <c r="F47" s="169">
        <v>9563.4740279680391</v>
      </c>
    </row>
    <row r="48" spans="1:9" outlineLevel="1" x14ac:dyDescent="0.25">
      <c r="C48" s="167">
        <f>SUBTOTAL(9,C41:C47)</f>
        <v>7</v>
      </c>
      <c r="D48" s="191" t="s">
        <v>172</v>
      </c>
      <c r="E48" s="192"/>
      <c r="F48" s="193">
        <f>SUBTOTAL(9,F41:F47)</f>
        <v>104621.27904851598</v>
      </c>
      <c r="G48" s="192"/>
      <c r="I48" s="192"/>
    </row>
    <row r="49" spans="1:7" outlineLevel="2" x14ac:dyDescent="0.25">
      <c r="A49" s="166">
        <v>201</v>
      </c>
      <c r="B49" s="167" t="s">
        <v>173</v>
      </c>
      <c r="C49" s="167">
        <v>1</v>
      </c>
      <c r="D49" s="167" t="s">
        <v>174</v>
      </c>
      <c r="E49" s="167" t="s">
        <v>175</v>
      </c>
      <c r="F49" s="169">
        <v>13103.562849315069</v>
      </c>
    </row>
    <row r="50" spans="1:7" outlineLevel="2" x14ac:dyDescent="0.25">
      <c r="A50" s="166">
        <v>201</v>
      </c>
      <c r="B50" s="167" t="s">
        <v>109</v>
      </c>
      <c r="C50" s="167">
        <v>1</v>
      </c>
      <c r="D50" s="167" t="s">
        <v>174</v>
      </c>
      <c r="E50" s="167" t="s">
        <v>176</v>
      </c>
      <c r="F50" s="169">
        <v>17383.2</v>
      </c>
    </row>
    <row r="51" spans="1:7" outlineLevel="2" x14ac:dyDescent="0.25">
      <c r="A51" s="166">
        <v>201</v>
      </c>
      <c r="B51" s="167" t="s">
        <v>125</v>
      </c>
      <c r="C51" s="167">
        <v>1</v>
      </c>
      <c r="D51" s="167" t="s">
        <v>174</v>
      </c>
      <c r="E51" s="167" t="s">
        <v>177</v>
      </c>
      <c r="F51" s="169">
        <v>12770.165808219179</v>
      </c>
    </row>
    <row r="52" spans="1:7" outlineLevel="2" x14ac:dyDescent="0.25">
      <c r="A52" s="166">
        <v>201</v>
      </c>
      <c r="B52" s="167" t="s">
        <v>178</v>
      </c>
      <c r="C52" s="167">
        <v>1</v>
      </c>
      <c r="D52" s="167" t="s">
        <v>174</v>
      </c>
      <c r="E52" s="167" t="s">
        <v>179</v>
      </c>
      <c r="F52" s="169">
        <v>15000</v>
      </c>
    </row>
    <row r="53" spans="1:7" outlineLevel="2" x14ac:dyDescent="0.25">
      <c r="A53" s="166">
        <v>201</v>
      </c>
      <c r="B53" s="167" t="s">
        <v>178</v>
      </c>
      <c r="C53" s="167">
        <v>1</v>
      </c>
      <c r="D53" s="167" t="s">
        <v>174</v>
      </c>
      <c r="E53" s="167" t="s">
        <v>180</v>
      </c>
      <c r="F53" s="169">
        <v>9981.8493150684935</v>
      </c>
    </row>
    <row r="54" spans="1:7" outlineLevel="2" x14ac:dyDescent="0.25">
      <c r="A54" s="166">
        <v>201</v>
      </c>
      <c r="B54" s="167" t="s">
        <v>123</v>
      </c>
      <c r="C54" s="167">
        <v>1</v>
      </c>
      <c r="D54" s="167" t="s">
        <v>174</v>
      </c>
      <c r="E54" s="167" t="s">
        <v>181</v>
      </c>
      <c r="F54" s="169">
        <v>24366.799999999999</v>
      </c>
    </row>
    <row r="55" spans="1:7" outlineLevel="2" x14ac:dyDescent="0.25">
      <c r="A55" s="166">
        <v>201</v>
      </c>
      <c r="B55" s="167" t="s">
        <v>178</v>
      </c>
      <c r="C55" s="167">
        <v>1</v>
      </c>
      <c r="D55" s="167" t="s">
        <v>174</v>
      </c>
      <c r="E55" s="167" t="s">
        <v>182</v>
      </c>
      <c r="F55" s="169">
        <v>15000</v>
      </c>
    </row>
    <row r="56" spans="1:7" outlineLevel="2" x14ac:dyDescent="0.25">
      <c r="A56" s="166">
        <v>201</v>
      </c>
      <c r="B56" s="167" t="s">
        <v>178</v>
      </c>
      <c r="C56" s="167">
        <v>1</v>
      </c>
      <c r="D56" s="167" t="s">
        <v>174</v>
      </c>
      <c r="E56" s="167" t="s">
        <v>183</v>
      </c>
      <c r="F56" s="169">
        <v>15000</v>
      </c>
    </row>
    <row r="57" spans="1:7" outlineLevel="2" x14ac:dyDescent="0.25">
      <c r="A57" s="166">
        <v>201</v>
      </c>
      <c r="B57" s="167" t="s">
        <v>158</v>
      </c>
      <c r="C57" s="167">
        <v>1</v>
      </c>
      <c r="D57" s="167" t="s">
        <v>174</v>
      </c>
      <c r="E57" s="167" t="s">
        <v>184</v>
      </c>
      <c r="F57" s="169">
        <v>9046.5686619863009</v>
      </c>
    </row>
    <row r="58" spans="1:7" outlineLevel="2" x14ac:dyDescent="0.25">
      <c r="A58" s="166">
        <v>201</v>
      </c>
      <c r="B58" s="167" t="s">
        <v>138</v>
      </c>
      <c r="C58" s="167">
        <v>1</v>
      </c>
      <c r="D58" s="167" t="s">
        <v>174</v>
      </c>
      <c r="E58" s="167" t="s">
        <v>185</v>
      </c>
      <c r="F58" s="169">
        <v>5814.8405479452058</v>
      </c>
    </row>
    <row r="59" spans="1:7" outlineLevel="2" x14ac:dyDescent="0.25">
      <c r="A59" s="166">
        <v>201</v>
      </c>
      <c r="B59" s="167" t="s">
        <v>109</v>
      </c>
      <c r="C59" s="167">
        <v>1</v>
      </c>
      <c r="D59" s="167" t="s">
        <v>174</v>
      </c>
      <c r="E59" s="167" t="s">
        <v>186</v>
      </c>
      <c r="F59" s="169">
        <v>20504.608767123285</v>
      </c>
    </row>
    <row r="60" spans="1:7" outlineLevel="2" x14ac:dyDescent="0.25">
      <c r="A60" s="166">
        <v>201</v>
      </c>
      <c r="B60" s="167" t="s">
        <v>178</v>
      </c>
      <c r="C60" s="167">
        <v>1</v>
      </c>
      <c r="D60" s="167" t="s">
        <v>174</v>
      </c>
      <c r="E60" s="167" t="s">
        <v>187</v>
      </c>
      <c r="F60" s="169">
        <v>7718.4727876712323</v>
      </c>
    </row>
    <row r="61" spans="1:7" outlineLevel="1" x14ac:dyDescent="0.25">
      <c r="C61" s="167">
        <f>SUBTOTAL(9,C49:C60)</f>
        <v>12</v>
      </c>
      <c r="D61" s="191" t="s">
        <v>188</v>
      </c>
      <c r="E61" s="192"/>
      <c r="F61" s="193">
        <f>SUBTOTAL(9,F49:F60)</f>
        <v>165690.06873732875</v>
      </c>
      <c r="G61" s="192"/>
    </row>
    <row r="62" spans="1:7" outlineLevel="2" x14ac:dyDescent="0.25">
      <c r="A62" s="166">
        <v>201</v>
      </c>
      <c r="B62" s="167" t="s">
        <v>178</v>
      </c>
      <c r="C62" s="167">
        <v>1</v>
      </c>
      <c r="D62" s="167" t="s">
        <v>189</v>
      </c>
      <c r="E62" s="167" t="s">
        <v>190</v>
      </c>
      <c r="F62" s="169">
        <v>16386.648767123286</v>
      </c>
    </row>
    <row r="63" spans="1:7" outlineLevel="2" x14ac:dyDescent="0.25">
      <c r="A63" s="166">
        <v>201</v>
      </c>
      <c r="B63" s="167" t="s">
        <v>121</v>
      </c>
      <c r="C63" s="167">
        <v>1</v>
      </c>
      <c r="D63" s="167" t="s">
        <v>189</v>
      </c>
      <c r="E63" s="167" t="s">
        <v>191</v>
      </c>
      <c r="F63" s="169">
        <v>14444.446621004567</v>
      </c>
    </row>
    <row r="64" spans="1:7" outlineLevel="2" x14ac:dyDescent="0.25">
      <c r="A64" s="166">
        <v>201</v>
      </c>
      <c r="B64" s="167" t="s">
        <v>178</v>
      </c>
      <c r="C64" s="167">
        <v>1</v>
      </c>
      <c r="D64" s="167" t="s">
        <v>189</v>
      </c>
      <c r="E64" s="167" t="s">
        <v>192</v>
      </c>
      <c r="F64" s="169">
        <v>15000</v>
      </c>
    </row>
    <row r="65" spans="1:7" outlineLevel="2" x14ac:dyDescent="0.25">
      <c r="A65" s="166">
        <v>201</v>
      </c>
      <c r="B65" s="167" t="s">
        <v>129</v>
      </c>
      <c r="C65" s="167">
        <v>1</v>
      </c>
      <c r="D65" s="167" t="s">
        <v>189</v>
      </c>
      <c r="E65" s="167" t="s">
        <v>193</v>
      </c>
      <c r="F65" s="169">
        <v>5705.3082191780823</v>
      </c>
    </row>
    <row r="66" spans="1:7" outlineLevel="2" x14ac:dyDescent="0.25">
      <c r="A66" s="166">
        <v>201</v>
      </c>
      <c r="B66" s="167" t="s">
        <v>168</v>
      </c>
      <c r="C66" s="167">
        <v>1</v>
      </c>
      <c r="D66" s="167" t="s">
        <v>189</v>
      </c>
      <c r="E66" s="167" t="s">
        <v>194</v>
      </c>
      <c r="F66" s="169">
        <v>18404.612151141551</v>
      </c>
    </row>
    <row r="67" spans="1:7" outlineLevel="2" x14ac:dyDescent="0.25">
      <c r="A67" s="166">
        <v>201</v>
      </c>
      <c r="B67" s="167" t="s">
        <v>118</v>
      </c>
      <c r="C67" s="167">
        <v>1</v>
      </c>
      <c r="D67" s="167" t="s">
        <v>189</v>
      </c>
      <c r="E67" s="167" t="s">
        <v>195</v>
      </c>
      <c r="F67" s="169">
        <v>9535.1911757990874</v>
      </c>
    </row>
    <row r="68" spans="1:7" outlineLevel="2" x14ac:dyDescent="0.25">
      <c r="A68" s="166">
        <v>201</v>
      </c>
      <c r="B68" s="167" t="s">
        <v>168</v>
      </c>
      <c r="C68" s="167">
        <v>1</v>
      </c>
      <c r="D68" s="167" t="s">
        <v>189</v>
      </c>
      <c r="E68" s="167" t="s">
        <v>196</v>
      </c>
      <c r="F68" s="169">
        <v>11813.151401141553</v>
      </c>
    </row>
    <row r="69" spans="1:7" outlineLevel="2" x14ac:dyDescent="0.25">
      <c r="A69" s="166">
        <v>201</v>
      </c>
      <c r="B69" s="167" t="s">
        <v>178</v>
      </c>
      <c r="C69" s="167">
        <v>1</v>
      </c>
      <c r="D69" s="167" t="s">
        <v>189</v>
      </c>
      <c r="E69" s="167" t="s">
        <v>197</v>
      </c>
      <c r="F69" s="169">
        <v>15000</v>
      </c>
    </row>
    <row r="70" spans="1:7" outlineLevel="2" x14ac:dyDescent="0.25">
      <c r="A70" s="166">
        <v>201</v>
      </c>
      <c r="B70" s="167" t="s">
        <v>123</v>
      </c>
      <c r="C70" s="167">
        <v>1</v>
      </c>
      <c r="D70" s="167" t="s">
        <v>189</v>
      </c>
      <c r="E70" s="167" t="s">
        <v>198</v>
      </c>
      <c r="F70" s="169">
        <v>24366.799999999999</v>
      </c>
    </row>
    <row r="71" spans="1:7" outlineLevel="1" x14ac:dyDescent="0.25">
      <c r="C71" s="167">
        <f>SUBTOTAL(9,C62:C70)</f>
        <v>9</v>
      </c>
      <c r="D71" s="191" t="s">
        <v>199</v>
      </c>
      <c r="E71" s="192"/>
      <c r="F71" s="193">
        <f>SUBTOTAL(9,F62:F70)</f>
        <v>130656.15833538814</v>
      </c>
      <c r="G71" s="192"/>
    </row>
    <row r="72" spans="1:7" outlineLevel="2" x14ac:dyDescent="0.25">
      <c r="A72" s="166">
        <v>201</v>
      </c>
      <c r="B72" s="167" t="s">
        <v>178</v>
      </c>
      <c r="C72" s="167">
        <v>1</v>
      </c>
      <c r="D72" s="167" t="s">
        <v>200</v>
      </c>
      <c r="E72" s="167" t="s">
        <v>201</v>
      </c>
      <c r="F72" s="169">
        <v>2817.5273424657535</v>
      </c>
    </row>
    <row r="73" spans="1:7" outlineLevel="2" x14ac:dyDescent="0.25">
      <c r="A73" s="166">
        <v>201</v>
      </c>
      <c r="B73" s="167" t="s">
        <v>121</v>
      </c>
      <c r="C73" s="167">
        <v>1</v>
      </c>
      <c r="D73" s="167" t="s">
        <v>200</v>
      </c>
      <c r="E73" s="167" t="s">
        <v>202</v>
      </c>
      <c r="F73" s="169">
        <v>5827.7407648401822</v>
      </c>
    </row>
    <row r="74" spans="1:7" outlineLevel="2" x14ac:dyDescent="0.25">
      <c r="A74" s="166">
        <v>201</v>
      </c>
      <c r="B74" s="167" t="s">
        <v>123</v>
      </c>
      <c r="C74" s="167">
        <v>1</v>
      </c>
      <c r="D74" s="167" t="s">
        <v>200</v>
      </c>
      <c r="E74" s="167" t="s">
        <v>203</v>
      </c>
      <c r="F74" s="169">
        <v>19214.167543378993</v>
      </c>
    </row>
    <row r="75" spans="1:7" outlineLevel="2" x14ac:dyDescent="0.25">
      <c r="A75" s="166">
        <v>201</v>
      </c>
      <c r="B75" s="167" t="s">
        <v>178</v>
      </c>
      <c r="C75" s="167">
        <v>1</v>
      </c>
      <c r="D75" s="167" t="s">
        <v>200</v>
      </c>
      <c r="E75" s="167" t="s">
        <v>204</v>
      </c>
      <c r="F75" s="169">
        <v>9553.4246575342459</v>
      </c>
    </row>
    <row r="76" spans="1:7" outlineLevel="1" x14ac:dyDescent="0.25">
      <c r="C76" s="167">
        <f>SUBTOTAL(9,C72:C75)</f>
        <v>4</v>
      </c>
      <c r="D76" s="170" t="s">
        <v>205</v>
      </c>
      <c r="F76" s="169">
        <f>SUBTOTAL(9,F72:F75)</f>
        <v>37412.860308219177</v>
      </c>
    </row>
    <row r="77" spans="1:7" outlineLevel="2" x14ac:dyDescent="0.25">
      <c r="A77" s="166">
        <v>201</v>
      </c>
      <c r="B77" s="167" t="s">
        <v>121</v>
      </c>
      <c r="C77" s="167">
        <v>1</v>
      </c>
      <c r="D77" s="167" t="s">
        <v>206</v>
      </c>
      <c r="E77" s="167" t="s">
        <v>207</v>
      </c>
      <c r="F77" s="169">
        <v>15053.977739726026</v>
      </c>
    </row>
    <row r="78" spans="1:7" outlineLevel="2" x14ac:dyDescent="0.25">
      <c r="A78" s="166">
        <v>201</v>
      </c>
      <c r="B78" s="167" t="s">
        <v>178</v>
      </c>
      <c r="C78" s="167">
        <v>1</v>
      </c>
      <c r="D78" s="167" t="s">
        <v>206</v>
      </c>
      <c r="E78" s="167" t="s">
        <v>208</v>
      </c>
      <c r="F78" s="169">
        <v>19322.522849315068</v>
      </c>
    </row>
    <row r="79" spans="1:7" outlineLevel="2" x14ac:dyDescent="0.25">
      <c r="A79" s="166">
        <v>201</v>
      </c>
      <c r="B79" s="167" t="s">
        <v>123</v>
      </c>
      <c r="C79" s="167">
        <v>1</v>
      </c>
      <c r="D79" s="167" t="s">
        <v>206</v>
      </c>
      <c r="E79" s="167" t="s">
        <v>209</v>
      </c>
      <c r="F79" s="169">
        <v>24366.799999999999</v>
      </c>
    </row>
    <row r="80" spans="1:7" outlineLevel="2" x14ac:dyDescent="0.25">
      <c r="A80" s="166">
        <v>201</v>
      </c>
      <c r="B80" s="167" t="s">
        <v>173</v>
      </c>
      <c r="C80" s="167">
        <v>1</v>
      </c>
      <c r="D80" s="167" t="s">
        <v>206</v>
      </c>
      <c r="E80" s="167" t="s">
        <v>210</v>
      </c>
      <c r="F80" s="169">
        <v>4990.6392694063934</v>
      </c>
    </row>
    <row r="81" spans="1:7" outlineLevel="2" x14ac:dyDescent="0.25">
      <c r="A81" s="166">
        <v>201</v>
      </c>
      <c r="B81" s="167" t="s">
        <v>173</v>
      </c>
      <c r="C81" s="167">
        <v>1</v>
      </c>
      <c r="D81" s="167" t="s">
        <v>206</v>
      </c>
      <c r="E81" s="167" t="s">
        <v>211</v>
      </c>
      <c r="F81" s="169">
        <v>4990.6392694063934</v>
      </c>
    </row>
    <row r="82" spans="1:7" outlineLevel="2" x14ac:dyDescent="0.25">
      <c r="A82" s="166">
        <v>201</v>
      </c>
      <c r="B82" s="167" t="s">
        <v>136</v>
      </c>
      <c r="C82" s="167">
        <v>1</v>
      </c>
      <c r="D82" s="167" t="s">
        <v>206</v>
      </c>
      <c r="E82" s="167" t="s">
        <v>212</v>
      </c>
      <c r="F82" s="169">
        <v>6855.8904109589039</v>
      </c>
    </row>
    <row r="83" spans="1:7" outlineLevel="2" x14ac:dyDescent="0.25">
      <c r="A83" s="166">
        <v>201</v>
      </c>
      <c r="B83" s="167" t="s">
        <v>178</v>
      </c>
      <c r="C83" s="167">
        <v>1</v>
      </c>
      <c r="D83" s="167" t="s">
        <v>206</v>
      </c>
      <c r="E83" s="167" t="s">
        <v>213</v>
      </c>
      <c r="F83" s="169">
        <v>15000</v>
      </c>
    </row>
    <row r="84" spans="1:7" outlineLevel="1" x14ac:dyDescent="0.25">
      <c r="C84" s="167">
        <f>SUBTOTAL(9,C77:C83)</f>
        <v>7</v>
      </c>
      <c r="D84" s="191" t="s">
        <v>214</v>
      </c>
      <c r="E84" s="192"/>
      <c r="F84" s="193">
        <f>SUBTOTAL(9,F77:F83)</f>
        <v>90580.469538812788</v>
      </c>
      <c r="G84" s="192"/>
    </row>
    <row r="85" spans="1:7" outlineLevel="2" x14ac:dyDescent="0.25">
      <c r="A85" s="166">
        <v>201</v>
      </c>
      <c r="B85" s="167" t="s">
        <v>218</v>
      </c>
      <c r="C85" s="167">
        <v>1</v>
      </c>
      <c r="D85" s="167" t="s">
        <v>219</v>
      </c>
      <c r="E85" s="167" t="s">
        <v>220</v>
      </c>
      <c r="F85" s="169">
        <v>13871.237972602741</v>
      </c>
    </row>
    <row r="86" spans="1:7" outlineLevel="1" x14ac:dyDescent="0.25">
      <c r="C86" s="167">
        <f>SUBTOTAL(9,C85:C85)</f>
        <v>1</v>
      </c>
      <c r="D86" s="170" t="s">
        <v>221</v>
      </c>
      <c r="F86" s="169">
        <f>SUBTOTAL(9,F85:F85)</f>
        <v>13871.237972602741</v>
      </c>
    </row>
    <row r="87" spans="1:7" outlineLevel="2" x14ac:dyDescent="0.25">
      <c r="A87" s="166">
        <v>201</v>
      </c>
      <c r="B87" s="167" t="s">
        <v>168</v>
      </c>
      <c r="C87" s="167">
        <v>1</v>
      </c>
      <c r="D87" s="167" t="s">
        <v>222</v>
      </c>
      <c r="E87" s="167" t="s">
        <v>223</v>
      </c>
      <c r="F87" s="169">
        <v>13479.242789954338</v>
      </c>
    </row>
    <row r="88" spans="1:7" outlineLevel="2" x14ac:dyDescent="0.25">
      <c r="A88" s="166">
        <v>201</v>
      </c>
      <c r="B88" s="167" t="s">
        <v>129</v>
      </c>
      <c r="C88" s="167">
        <v>1</v>
      </c>
      <c r="D88" s="167" t="s">
        <v>222</v>
      </c>
      <c r="E88" s="167" t="s">
        <v>224</v>
      </c>
      <c r="F88" s="169">
        <v>12151.14816894977</v>
      </c>
    </row>
    <row r="89" spans="1:7" outlineLevel="2" x14ac:dyDescent="0.25">
      <c r="A89" s="166">
        <v>201</v>
      </c>
      <c r="B89" s="167" t="s">
        <v>154</v>
      </c>
      <c r="C89" s="167">
        <v>1</v>
      </c>
      <c r="D89" s="167" t="s">
        <v>222</v>
      </c>
      <c r="E89" s="167" t="s">
        <v>225</v>
      </c>
      <c r="F89" s="169">
        <v>9968.6632924657515</v>
      </c>
    </row>
    <row r="90" spans="1:7" outlineLevel="2" x14ac:dyDescent="0.25">
      <c r="A90" s="166">
        <v>201</v>
      </c>
      <c r="B90" s="167" t="s">
        <v>166</v>
      </c>
      <c r="C90" s="167">
        <v>1</v>
      </c>
      <c r="D90" s="167" t="s">
        <v>222</v>
      </c>
      <c r="E90" s="167" t="s">
        <v>226</v>
      </c>
      <c r="F90" s="169">
        <v>21000</v>
      </c>
    </row>
    <row r="91" spans="1:7" outlineLevel="2" x14ac:dyDescent="0.25">
      <c r="A91" s="166">
        <v>201</v>
      </c>
      <c r="B91" s="167" t="s">
        <v>129</v>
      </c>
      <c r="C91" s="167">
        <v>1</v>
      </c>
      <c r="D91" s="167" t="s">
        <v>222</v>
      </c>
      <c r="E91" s="167" t="s">
        <v>227</v>
      </c>
      <c r="F91" s="169">
        <v>4108.813680365296</v>
      </c>
    </row>
    <row r="92" spans="1:7" outlineLevel="2" x14ac:dyDescent="0.25">
      <c r="A92" s="166">
        <v>201</v>
      </c>
      <c r="B92" s="167" t="s">
        <v>118</v>
      </c>
      <c r="C92" s="167">
        <v>1</v>
      </c>
      <c r="D92" s="167" t="s">
        <v>222</v>
      </c>
      <c r="E92" s="167" t="s">
        <v>228</v>
      </c>
      <c r="F92" s="169">
        <v>5292.7723744292234</v>
      </c>
    </row>
    <row r="93" spans="1:7" outlineLevel="2" x14ac:dyDescent="0.25">
      <c r="A93" s="166">
        <v>201</v>
      </c>
      <c r="B93" s="167" t="s">
        <v>118</v>
      </c>
      <c r="C93" s="167">
        <v>1</v>
      </c>
      <c r="D93" s="167" t="s">
        <v>222</v>
      </c>
      <c r="E93" s="167" t="s">
        <v>229</v>
      </c>
      <c r="F93" s="169">
        <v>12927.664900684931</v>
      </c>
    </row>
    <row r="94" spans="1:7" outlineLevel="2" x14ac:dyDescent="0.25">
      <c r="A94" s="166">
        <v>201</v>
      </c>
      <c r="B94" s="167" t="s">
        <v>129</v>
      </c>
      <c r="C94" s="167">
        <v>1</v>
      </c>
      <c r="D94" s="167" t="s">
        <v>222</v>
      </c>
      <c r="E94" s="167" t="s">
        <v>230</v>
      </c>
      <c r="F94" s="169">
        <v>3264.3760319634703</v>
      </c>
    </row>
    <row r="95" spans="1:7" outlineLevel="2" x14ac:dyDescent="0.25">
      <c r="A95" s="166">
        <v>201</v>
      </c>
      <c r="B95" s="167" t="s">
        <v>129</v>
      </c>
      <c r="C95" s="167">
        <v>1</v>
      </c>
      <c r="D95" s="167" t="s">
        <v>222</v>
      </c>
      <c r="E95" s="167" t="s">
        <v>231</v>
      </c>
      <c r="F95" s="169">
        <v>15185.358894977167</v>
      </c>
    </row>
    <row r="96" spans="1:7" outlineLevel="2" x14ac:dyDescent="0.25">
      <c r="A96" s="166">
        <v>201</v>
      </c>
      <c r="B96" s="167" t="s">
        <v>129</v>
      </c>
      <c r="C96" s="167">
        <v>1</v>
      </c>
      <c r="D96" s="167" t="s">
        <v>222</v>
      </c>
      <c r="E96" s="167" t="s">
        <v>232</v>
      </c>
      <c r="F96" s="169">
        <v>15185.358894977167</v>
      </c>
    </row>
    <row r="97" spans="1:7" outlineLevel="2" x14ac:dyDescent="0.25">
      <c r="A97" s="166">
        <v>201</v>
      </c>
      <c r="B97" s="167" t="s">
        <v>129</v>
      </c>
      <c r="C97" s="167">
        <v>1</v>
      </c>
      <c r="D97" s="167" t="s">
        <v>222</v>
      </c>
      <c r="E97" s="167" t="s">
        <v>233</v>
      </c>
      <c r="F97" s="169">
        <v>3261.8138949771687</v>
      </c>
    </row>
    <row r="98" spans="1:7" outlineLevel="2" x14ac:dyDescent="0.25">
      <c r="A98" s="166">
        <v>201</v>
      </c>
      <c r="B98" s="167" t="s">
        <v>121</v>
      </c>
      <c r="C98" s="167">
        <v>1</v>
      </c>
      <c r="D98" s="167" t="s">
        <v>222</v>
      </c>
      <c r="E98" s="167" t="s">
        <v>234</v>
      </c>
      <c r="F98" s="169">
        <v>9535.1911757990874</v>
      </c>
    </row>
    <row r="99" spans="1:7" outlineLevel="1" x14ac:dyDescent="0.25">
      <c r="C99" s="167">
        <f>SUBTOTAL(9,C87:C98)</f>
        <v>12</v>
      </c>
      <c r="D99" s="170" t="s">
        <v>235</v>
      </c>
      <c r="F99" s="169">
        <f>SUBTOTAL(9,F87:F98)</f>
        <v>125360.40409954338</v>
      </c>
    </row>
    <row r="100" spans="1:7" outlineLevel="2" x14ac:dyDescent="0.25">
      <c r="A100" s="166">
        <v>202</v>
      </c>
      <c r="B100" s="167" t="s">
        <v>158</v>
      </c>
      <c r="C100" s="167">
        <v>1</v>
      </c>
      <c r="D100" s="168" t="s">
        <v>94</v>
      </c>
      <c r="E100" s="167" t="s">
        <v>236</v>
      </c>
      <c r="F100" s="169">
        <v>1345.5308219178082</v>
      </c>
    </row>
    <row r="101" spans="1:7" outlineLevel="2" x14ac:dyDescent="0.25">
      <c r="A101" s="166">
        <v>202</v>
      </c>
      <c r="B101" s="167" t="s">
        <v>158</v>
      </c>
      <c r="C101" s="167">
        <v>1</v>
      </c>
      <c r="D101" s="168" t="s">
        <v>94</v>
      </c>
      <c r="E101" s="167" t="s">
        <v>237</v>
      </c>
      <c r="F101" s="169">
        <v>1154.5890410958905</v>
      </c>
    </row>
    <row r="102" spans="1:7" outlineLevel="2" x14ac:dyDescent="0.25">
      <c r="A102" s="166">
        <v>202</v>
      </c>
      <c r="B102" s="167" t="s">
        <v>158</v>
      </c>
      <c r="C102" s="167">
        <v>1</v>
      </c>
      <c r="D102" s="168" t="s">
        <v>94</v>
      </c>
      <c r="E102" s="167" t="s">
        <v>238</v>
      </c>
      <c r="F102" s="169">
        <v>1261.541095890411</v>
      </c>
    </row>
    <row r="103" spans="1:7" outlineLevel="2" x14ac:dyDescent="0.25">
      <c r="A103" s="166">
        <v>202</v>
      </c>
      <c r="B103" s="167" t="s">
        <v>158</v>
      </c>
      <c r="C103" s="167">
        <v>1</v>
      </c>
      <c r="D103" s="168" t="s">
        <v>94</v>
      </c>
      <c r="E103" s="167" t="s">
        <v>239</v>
      </c>
      <c r="F103" s="169">
        <v>1345.5308219178082</v>
      </c>
    </row>
    <row r="104" spans="1:7" outlineLevel="2" x14ac:dyDescent="0.25">
      <c r="A104" s="166">
        <v>202</v>
      </c>
      <c r="B104" s="167" t="s">
        <v>138</v>
      </c>
      <c r="C104" s="167">
        <v>1</v>
      </c>
      <c r="D104" s="168" t="s">
        <v>94</v>
      </c>
      <c r="E104" s="167" t="s">
        <v>240</v>
      </c>
      <c r="F104" s="169">
        <v>14501.850301369865</v>
      </c>
    </row>
    <row r="105" spans="1:7" outlineLevel="1" x14ac:dyDescent="0.25">
      <c r="C105" s="167">
        <f>SUBTOTAL(9,C100:C104)</f>
        <v>5</v>
      </c>
      <c r="D105" s="194" t="s">
        <v>241</v>
      </c>
      <c r="E105" s="192"/>
      <c r="F105" s="193">
        <f>SUBTOTAL(9,F100:F104)</f>
        <v>19609.042082191783</v>
      </c>
      <c r="G105" s="192"/>
    </row>
    <row r="106" spans="1:7" outlineLevel="2" x14ac:dyDescent="0.25">
      <c r="A106" s="166">
        <v>301</v>
      </c>
      <c r="B106" s="167" t="s">
        <v>178</v>
      </c>
      <c r="C106" s="167">
        <v>1</v>
      </c>
      <c r="D106" s="167" t="s">
        <v>242</v>
      </c>
      <c r="E106" s="167" t="s">
        <v>243</v>
      </c>
      <c r="F106" s="169">
        <v>15000</v>
      </c>
    </row>
    <row r="107" spans="1:7" outlineLevel="2" x14ac:dyDescent="0.25">
      <c r="A107" s="166">
        <v>301</v>
      </c>
      <c r="B107" s="167" t="s">
        <v>123</v>
      </c>
      <c r="C107" s="167">
        <v>1</v>
      </c>
      <c r="D107" s="167" t="s">
        <v>242</v>
      </c>
      <c r="E107" s="167" t="s">
        <v>244</v>
      </c>
      <c r="F107" s="169">
        <v>24366.799999999999</v>
      </c>
    </row>
    <row r="108" spans="1:7" outlineLevel="2" x14ac:dyDescent="0.25">
      <c r="A108" s="166">
        <v>301</v>
      </c>
      <c r="B108" s="167" t="s">
        <v>136</v>
      </c>
      <c r="C108" s="167">
        <v>1</v>
      </c>
      <c r="D108" s="167" t="s">
        <v>242</v>
      </c>
      <c r="E108" s="167" t="s">
        <v>245</v>
      </c>
      <c r="F108" s="169">
        <v>6944.3150684931506</v>
      </c>
    </row>
    <row r="109" spans="1:7" outlineLevel="2" x14ac:dyDescent="0.25">
      <c r="A109" s="166">
        <v>301</v>
      </c>
      <c r="B109" s="167" t="s">
        <v>178</v>
      </c>
      <c r="C109" s="167">
        <v>1</v>
      </c>
      <c r="D109" s="167" t="s">
        <v>242</v>
      </c>
      <c r="E109" s="167" t="s">
        <v>246</v>
      </c>
      <c r="F109" s="169">
        <v>15000</v>
      </c>
    </row>
    <row r="110" spans="1:7" outlineLevel="2" x14ac:dyDescent="0.25">
      <c r="A110" s="166">
        <v>301</v>
      </c>
      <c r="B110" s="167" t="s">
        <v>129</v>
      </c>
      <c r="C110" s="167">
        <v>1</v>
      </c>
      <c r="D110" s="167" t="s">
        <v>242</v>
      </c>
      <c r="E110" s="167" t="s">
        <v>247</v>
      </c>
      <c r="F110" s="169">
        <v>15195.607442922374</v>
      </c>
    </row>
    <row r="111" spans="1:7" outlineLevel="2" x14ac:dyDescent="0.25">
      <c r="A111" s="166">
        <v>301</v>
      </c>
      <c r="B111" s="167" t="s">
        <v>136</v>
      </c>
      <c r="C111" s="167">
        <v>1</v>
      </c>
      <c r="D111" s="167" t="s">
        <v>242</v>
      </c>
      <c r="E111" s="167" t="s">
        <v>248</v>
      </c>
      <c r="F111" s="169">
        <v>11102.720876712328</v>
      </c>
    </row>
    <row r="112" spans="1:7" outlineLevel="1" x14ac:dyDescent="0.25">
      <c r="C112" s="167">
        <f>SUBTOTAL(9,C106:C111)</f>
        <v>6</v>
      </c>
      <c r="D112" s="191" t="s">
        <v>249</v>
      </c>
      <c r="E112" s="192"/>
      <c r="F112" s="193">
        <f>SUBTOTAL(9,F106:F111)</f>
        <v>87609.443388127853</v>
      </c>
      <c r="G112" s="192"/>
    </row>
    <row r="113" spans="1:6" outlineLevel="2" x14ac:dyDescent="0.25">
      <c r="A113" s="166">
        <v>401</v>
      </c>
      <c r="B113" s="167" t="s">
        <v>178</v>
      </c>
      <c r="C113" s="167">
        <v>1</v>
      </c>
      <c r="D113" s="167" t="s">
        <v>250</v>
      </c>
      <c r="E113" s="167" t="s">
        <v>251</v>
      </c>
      <c r="F113" s="169">
        <v>14482.509589041098</v>
      </c>
    </row>
    <row r="114" spans="1:6" outlineLevel="2" x14ac:dyDescent="0.25">
      <c r="A114" s="166">
        <v>401</v>
      </c>
      <c r="B114" s="167" t="s">
        <v>121</v>
      </c>
      <c r="C114" s="167">
        <v>1</v>
      </c>
      <c r="D114" s="167" t="s">
        <v>250</v>
      </c>
      <c r="E114" s="167" t="s">
        <v>252</v>
      </c>
      <c r="F114" s="169">
        <v>13632.520342465754</v>
      </c>
    </row>
    <row r="115" spans="1:6" outlineLevel="1" x14ac:dyDescent="0.25">
      <c r="C115" s="167">
        <f>SUBTOTAL(9,C113:C114)</f>
        <v>2</v>
      </c>
      <c r="D115" s="170" t="s">
        <v>253</v>
      </c>
      <c r="F115" s="169">
        <f>SUBTOTAL(9,F113:F114)</f>
        <v>28115.029931506851</v>
      </c>
    </row>
    <row r="116" spans="1:6" outlineLevel="2" x14ac:dyDescent="0.25">
      <c r="A116" s="166">
        <v>401</v>
      </c>
      <c r="B116" s="167" t="s">
        <v>178</v>
      </c>
      <c r="C116" s="167">
        <v>1</v>
      </c>
      <c r="D116" s="167" t="s">
        <v>254</v>
      </c>
      <c r="E116" s="167" t="s">
        <v>255</v>
      </c>
      <c r="F116" s="169">
        <v>15000</v>
      </c>
    </row>
    <row r="117" spans="1:6" outlineLevel="2" x14ac:dyDescent="0.25">
      <c r="A117" s="166">
        <v>401</v>
      </c>
      <c r="B117" s="167" t="s">
        <v>168</v>
      </c>
      <c r="C117" s="167">
        <v>1</v>
      </c>
      <c r="D117" s="167" t="s">
        <v>254</v>
      </c>
      <c r="E117" s="167" t="s">
        <v>256</v>
      </c>
      <c r="F117" s="169">
        <v>11813.190381278537</v>
      </c>
    </row>
    <row r="118" spans="1:6" outlineLevel="2" x14ac:dyDescent="0.25">
      <c r="A118" s="166">
        <v>401</v>
      </c>
      <c r="B118" s="167" t="s">
        <v>123</v>
      </c>
      <c r="C118" s="167">
        <v>1</v>
      </c>
      <c r="D118" s="167" t="s">
        <v>254</v>
      </c>
      <c r="E118" s="167" t="s">
        <v>257</v>
      </c>
      <c r="F118" s="169">
        <v>24366.799999999999</v>
      </c>
    </row>
    <row r="119" spans="1:6" outlineLevel="2" x14ac:dyDescent="0.25">
      <c r="A119" s="166">
        <v>401</v>
      </c>
      <c r="B119" s="167" t="s">
        <v>178</v>
      </c>
      <c r="C119" s="167">
        <v>1</v>
      </c>
      <c r="D119" s="167" t="s">
        <v>254</v>
      </c>
      <c r="E119" s="167" t="s">
        <v>258</v>
      </c>
      <c r="F119" s="169">
        <v>11748.287671232876</v>
      </c>
    </row>
    <row r="120" spans="1:6" outlineLevel="2" x14ac:dyDescent="0.25">
      <c r="A120" s="166">
        <v>401</v>
      </c>
      <c r="B120" s="167" t="s">
        <v>178</v>
      </c>
      <c r="C120" s="167">
        <v>1</v>
      </c>
      <c r="D120" s="167" t="s">
        <v>254</v>
      </c>
      <c r="E120" s="167" t="s">
        <v>259</v>
      </c>
      <c r="F120" s="169">
        <v>6240.0684931506848</v>
      </c>
    </row>
    <row r="121" spans="1:6" outlineLevel="1" x14ac:dyDescent="0.25">
      <c r="C121" s="167">
        <f>SUBTOTAL(9,C116:C120)</f>
        <v>5</v>
      </c>
      <c r="D121" s="170" t="s">
        <v>260</v>
      </c>
      <c r="F121" s="169">
        <f>SUBTOTAL(9,F116:F120)</f>
        <v>69168.346545662091</v>
      </c>
    </row>
    <row r="122" spans="1:6" outlineLevel="2" x14ac:dyDescent="0.25">
      <c r="A122" s="166">
        <v>401</v>
      </c>
      <c r="B122" s="167" t="s">
        <v>166</v>
      </c>
      <c r="C122" s="167">
        <v>1</v>
      </c>
      <c r="D122" s="167" t="s">
        <v>215</v>
      </c>
      <c r="E122" s="167" t="s">
        <v>261</v>
      </c>
      <c r="F122" s="169">
        <v>22234.445</v>
      </c>
    </row>
    <row r="123" spans="1:6" outlineLevel="2" x14ac:dyDescent="0.25">
      <c r="A123" s="166">
        <v>401</v>
      </c>
      <c r="B123" s="167" t="s">
        <v>136</v>
      </c>
      <c r="C123" s="167">
        <v>1</v>
      </c>
      <c r="D123" s="167" t="s">
        <v>215</v>
      </c>
      <c r="E123" s="167" t="s">
        <v>262</v>
      </c>
      <c r="F123" s="169">
        <v>6353.2753972602732</v>
      </c>
    </row>
    <row r="124" spans="1:6" outlineLevel="2" x14ac:dyDescent="0.25">
      <c r="A124" s="166">
        <v>401</v>
      </c>
      <c r="B124" s="167" t="s">
        <v>263</v>
      </c>
      <c r="C124" s="167">
        <v>1</v>
      </c>
      <c r="D124" s="167" t="s">
        <v>215</v>
      </c>
      <c r="E124" s="167" t="s">
        <v>264</v>
      </c>
      <c r="F124" s="169">
        <v>14112.225</v>
      </c>
    </row>
    <row r="125" spans="1:6" outlineLevel="2" x14ac:dyDescent="0.25">
      <c r="A125" s="166">
        <v>401</v>
      </c>
      <c r="B125" s="167" t="s">
        <v>263</v>
      </c>
      <c r="C125" s="167">
        <v>1</v>
      </c>
      <c r="D125" s="167" t="s">
        <v>215</v>
      </c>
      <c r="E125" s="167" t="s">
        <v>265</v>
      </c>
      <c r="F125" s="169">
        <v>14112.225</v>
      </c>
    </row>
    <row r="126" spans="1:6" outlineLevel="2" x14ac:dyDescent="0.25">
      <c r="A126" s="166">
        <v>401</v>
      </c>
      <c r="B126" s="167" t="s">
        <v>178</v>
      </c>
      <c r="C126" s="167">
        <v>1</v>
      </c>
      <c r="D126" s="167" t="s">
        <v>215</v>
      </c>
      <c r="E126" s="167" t="s">
        <v>266</v>
      </c>
      <c r="F126" s="169">
        <v>15000</v>
      </c>
    </row>
    <row r="127" spans="1:6" outlineLevel="2" x14ac:dyDescent="0.25">
      <c r="A127" s="166">
        <v>401</v>
      </c>
      <c r="B127" s="167" t="s">
        <v>138</v>
      </c>
      <c r="C127" s="167">
        <v>1</v>
      </c>
      <c r="D127" s="167" t="s">
        <v>215</v>
      </c>
      <c r="E127" s="167" t="s">
        <v>267</v>
      </c>
      <c r="F127" s="169">
        <v>5389.1095890410961</v>
      </c>
    </row>
    <row r="128" spans="1:6" outlineLevel="2" x14ac:dyDescent="0.25">
      <c r="A128" s="166">
        <v>201</v>
      </c>
      <c r="B128" s="167" t="s">
        <v>178</v>
      </c>
      <c r="C128" s="167">
        <v>1</v>
      </c>
      <c r="D128" s="167" t="s">
        <v>215</v>
      </c>
      <c r="E128" s="167" t="s">
        <v>216</v>
      </c>
      <c r="F128" s="169">
        <v>5089.3703013698623</v>
      </c>
    </row>
    <row r="129" spans="1:6" outlineLevel="1" x14ac:dyDescent="0.25">
      <c r="C129" s="167">
        <f>SUBTOTAL(9,C122:C128)</f>
        <v>7</v>
      </c>
      <c r="D129" s="170" t="s">
        <v>217</v>
      </c>
      <c r="F129" s="169">
        <f>SUBTOTAL(9,F122:F128)</f>
        <v>82290.650287671233</v>
      </c>
    </row>
    <row r="130" spans="1:6" outlineLevel="2" x14ac:dyDescent="0.25">
      <c r="A130" s="166">
        <v>501</v>
      </c>
      <c r="B130" s="167" t="s">
        <v>178</v>
      </c>
      <c r="C130" s="167">
        <v>1</v>
      </c>
      <c r="D130" s="167" t="s">
        <v>268</v>
      </c>
      <c r="E130" s="167" t="s">
        <v>269</v>
      </c>
      <c r="F130" s="169">
        <v>16367.308054794521</v>
      </c>
    </row>
    <row r="131" spans="1:6" outlineLevel="2" x14ac:dyDescent="0.25">
      <c r="A131" s="166">
        <v>501</v>
      </c>
      <c r="B131" s="167" t="s">
        <v>178</v>
      </c>
      <c r="C131" s="167">
        <v>1</v>
      </c>
      <c r="D131" s="167" t="s">
        <v>268</v>
      </c>
      <c r="E131" s="167" t="s">
        <v>270</v>
      </c>
      <c r="F131" s="169">
        <v>13103.562849315069</v>
      </c>
    </row>
    <row r="132" spans="1:6" outlineLevel="2" x14ac:dyDescent="0.25">
      <c r="A132" s="166">
        <v>501</v>
      </c>
      <c r="B132" s="167" t="s">
        <v>123</v>
      </c>
      <c r="C132" s="167">
        <v>1</v>
      </c>
      <c r="D132" s="167" t="s">
        <v>268</v>
      </c>
      <c r="E132" s="167" t="s">
        <v>271</v>
      </c>
      <c r="F132" s="169">
        <v>29000</v>
      </c>
    </row>
    <row r="133" spans="1:6" outlineLevel="2" x14ac:dyDescent="0.25">
      <c r="A133" s="166">
        <v>501</v>
      </c>
      <c r="B133" s="167" t="s">
        <v>109</v>
      </c>
      <c r="C133" s="167">
        <v>1</v>
      </c>
      <c r="D133" s="167" t="s">
        <v>268</v>
      </c>
      <c r="E133" s="167" t="s">
        <v>272</v>
      </c>
      <c r="F133" s="169">
        <v>5017.5734452054785</v>
      </c>
    </row>
    <row r="134" spans="1:6" outlineLevel="2" x14ac:dyDescent="0.25">
      <c r="A134" s="166">
        <v>501</v>
      </c>
      <c r="B134" s="167" t="s">
        <v>178</v>
      </c>
      <c r="C134" s="167">
        <v>1</v>
      </c>
      <c r="D134" s="167" t="s">
        <v>268</v>
      </c>
      <c r="E134" s="167" t="s">
        <v>273</v>
      </c>
      <c r="F134" s="169">
        <v>15000</v>
      </c>
    </row>
    <row r="135" spans="1:6" outlineLevel="2" x14ac:dyDescent="0.25">
      <c r="A135" s="166">
        <v>501</v>
      </c>
      <c r="B135" s="167" t="s">
        <v>178</v>
      </c>
      <c r="C135" s="167">
        <v>1</v>
      </c>
      <c r="D135" s="167" t="s">
        <v>268</v>
      </c>
      <c r="E135" s="167" t="s">
        <v>274</v>
      </c>
      <c r="F135" s="169">
        <v>15000</v>
      </c>
    </row>
    <row r="136" spans="1:6" outlineLevel="2" x14ac:dyDescent="0.25">
      <c r="A136" s="166">
        <v>501</v>
      </c>
      <c r="B136" s="167" t="s">
        <v>178</v>
      </c>
      <c r="C136" s="167">
        <v>1</v>
      </c>
      <c r="D136" s="167" t="s">
        <v>268</v>
      </c>
      <c r="E136" s="167" t="s">
        <v>275</v>
      </c>
      <c r="F136" s="169">
        <v>4086.3013698630139</v>
      </c>
    </row>
    <row r="137" spans="1:6" outlineLevel="2" x14ac:dyDescent="0.25">
      <c r="A137" s="166">
        <v>501</v>
      </c>
      <c r="B137" s="167" t="s">
        <v>178</v>
      </c>
      <c r="C137" s="167">
        <v>1</v>
      </c>
      <c r="D137" s="167" t="s">
        <v>268</v>
      </c>
      <c r="E137" s="167" t="s">
        <v>276</v>
      </c>
      <c r="F137" s="169">
        <v>19322.522849315068</v>
      </c>
    </row>
    <row r="138" spans="1:6" outlineLevel="2" x14ac:dyDescent="0.25">
      <c r="A138" s="166">
        <v>501</v>
      </c>
      <c r="B138" s="167" t="s">
        <v>178</v>
      </c>
      <c r="C138" s="167">
        <v>1</v>
      </c>
      <c r="D138" s="167" t="s">
        <v>268</v>
      </c>
      <c r="E138" s="167" t="s">
        <v>277</v>
      </c>
      <c r="F138" s="169">
        <v>1857.4429223744294</v>
      </c>
    </row>
    <row r="139" spans="1:6" outlineLevel="1" x14ac:dyDescent="0.25">
      <c r="C139" s="167">
        <f>SUBTOTAL(9,C130:C138)</f>
        <v>9</v>
      </c>
      <c r="D139" s="170" t="s">
        <v>278</v>
      </c>
      <c r="F139" s="169">
        <f>SUBTOTAL(9,F130:F138)</f>
        <v>118754.71149086756</v>
      </c>
    </row>
    <row r="140" spans="1:6" x14ac:dyDescent="0.25">
      <c r="C140" s="167">
        <f>SUBTOTAL(9,C2:C138)</f>
        <v>119</v>
      </c>
      <c r="D140" s="170" t="s">
        <v>279</v>
      </c>
      <c r="F140" s="169">
        <f>SUBTOTAL(9,F2:F138)</f>
        <v>1514002.8031342474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DF613-9ED3-4FAC-B76D-730AC729A29B}">
  <sheetPr>
    <tabColor theme="3" tint="0.39997558519241921"/>
    <pageSetUpPr fitToPage="1"/>
  </sheetPr>
  <dimension ref="A2:AG125"/>
  <sheetViews>
    <sheetView showGridLines="0" topLeftCell="B5" zoomScale="95" zoomScaleNormal="85" workbookViewId="0">
      <selection activeCell="G33" sqref="G33"/>
    </sheetView>
  </sheetViews>
  <sheetFormatPr baseColWidth="10" defaultRowHeight="15" x14ac:dyDescent="0.25"/>
  <cols>
    <col min="1" max="1" width="3.140625" customWidth="1"/>
    <col min="2" max="2" width="47.28515625" customWidth="1"/>
    <col min="3" max="3" width="18.140625" customWidth="1"/>
    <col min="4" max="4" width="14.42578125" customWidth="1"/>
    <col min="5" max="5" width="12.5703125" customWidth="1"/>
    <col min="6" max="6" width="14.140625" bestFit="1" customWidth="1"/>
    <col min="7" max="7" width="12.7109375" customWidth="1"/>
    <col min="8" max="8" width="15.7109375" customWidth="1"/>
    <col min="9" max="9" width="11" bestFit="1" customWidth="1"/>
    <col min="10" max="10" width="12.7109375" hidden="1" customWidth="1"/>
    <col min="11" max="11" width="11" hidden="1" customWidth="1"/>
    <col min="12" max="12" width="5.85546875" style="40" customWidth="1"/>
    <col min="13" max="13" width="12.7109375" style="36" customWidth="1"/>
    <col min="14" max="14" width="16.42578125" style="20" bestFit="1" customWidth="1"/>
    <col min="15" max="15" width="16.28515625" style="36" customWidth="1"/>
    <col min="16" max="16" width="15.5703125" bestFit="1" customWidth="1"/>
    <col min="17" max="17" width="15.28515625" customWidth="1"/>
    <col min="18" max="18" width="17.28515625" customWidth="1"/>
    <col min="19" max="19" width="14.85546875" customWidth="1"/>
    <col min="20" max="20" width="14.140625" customWidth="1"/>
    <col min="21" max="21" width="17" customWidth="1"/>
    <col min="22" max="23" width="20.7109375" customWidth="1"/>
    <col min="24" max="24" width="18.5703125" customWidth="1"/>
    <col min="25" max="25" width="22.85546875" customWidth="1"/>
    <col min="26" max="27" width="18.5703125" customWidth="1"/>
    <col min="28" max="28" width="18.5703125" bestFit="1" customWidth="1"/>
    <col min="29" max="30" width="16.85546875" customWidth="1"/>
    <col min="32" max="32" width="14.5703125" customWidth="1"/>
    <col min="33" max="33" width="12.7109375" bestFit="1" customWidth="1"/>
    <col min="239" max="239" width="37.42578125" bestFit="1" customWidth="1"/>
    <col min="240" max="240" width="13.85546875" bestFit="1" customWidth="1"/>
    <col min="241" max="241" width="13.42578125" customWidth="1"/>
    <col min="242" max="242" width="7.85546875" bestFit="1" customWidth="1"/>
    <col min="243" max="243" width="13.28515625" customWidth="1"/>
    <col min="244" max="244" width="7.7109375" bestFit="1" customWidth="1"/>
    <col min="245" max="245" width="14.7109375" customWidth="1"/>
    <col min="246" max="246" width="7.85546875" bestFit="1" customWidth="1"/>
    <col min="495" max="495" width="37.42578125" bestFit="1" customWidth="1"/>
    <col min="496" max="496" width="13.85546875" bestFit="1" customWidth="1"/>
    <col min="497" max="497" width="13.42578125" customWidth="1"/>
    <col min="498" max="498" width="7.85546875" bestFit="1" customWidth="1"/>
    <col min="499" max="499" width="13.28515625" customWidth="1"/>
    <col min="500" max="500" width="7.7109375" bestFit="1" customWidth="1"/>
    <col min="501" max="501" width="14.7109375" customWidth="1"/>
    <col min="502" max="502" width="7.85546875" bestFit="1" customWidth="1"/>
    <col min="751" max="751" width="37.42578125" bestFit="1" customWidth="1"/>
    <col min="752" max="752" width="13.85546875" bestFit="1" customWidth="1"/>
    <col min="753" max="753" width="13.42578125" customWidth="1"/>
    <col min="754" max="754" width="7.85546875" bestFit="1" customWidth="1"/>
    <col min="755" max="755" width="13.28515625" customWidth="1"/>
    <col min="756" max="756" width="7.7109375" bestFit="1" customWidth="1"/>
    <col min="757" max="757" width="14.7109375" customWidth="1"/>
    <col min="758" max="758" width="7.85546875" bestFit="1" customWidth="1"/>
    <col min="1007" max="1007" width="37.42578125" bestFit="1" customWidth="1"/>
    <col min="1008" max="1008" width="13.85546875" bestFit="1" customWidth="1"/>
    <col min="1009" max="1009" width="13.42578125" customWidth="1"/>
    <col min="1010" max="1010" width="7.85546875" bestFit="1" customWidth="1"/>
    <col min="1011" max="1011" width="13.28515625" customWidth="1"/>
    <col min="1012" max="1012" width="7.7109375" bestFit="1" customWidth="1"/>
    <col min="1013" max="1013" width="14.7109375" customWidth="1"/>
    <col min="1014" max="1014" width="7.85546875" bestFit="1" customWidth="1"/>
    <col min="1263" max="1263" width="37.42578125" bestFit="1" customWidth="1"/>
    <col min="1264" max="1264" width="13.85546875" bestFit="1" customWidth="1"/>
    <col min="1265" max="1265" width="13.42578125" customWidth="1"/>
    <col min="1266" max="1266" width="7.85546875" bestFit="1" customWidth="1"/>
    <col min="1267" max="1267" width="13.28515625" customWidth="1"/>
    <col min="1268" max="1268" width="7.7109375" bestFit="1" customWidth="1"/>
    <col min="1269" max="1269" width="14.7109375" customWidth="1"/>
    <col min="1270" max="1270" width="7.85546875" bestFit="1" customWidth="1"/>
    <col min="1519" max="1519" width="37.42578125" bestFit="1" customWidth="1"/>
    <col min="1520" max="1520" width="13.85546875" bestFit="1" customWidth="1"/>
    <col min="1521" max="1521" width="13.42578125" customWidth="1"/>
    <col min="1522" max="1522" width="7.85546875" bestFit="1" customWidth="1"/>
    <col min="1523" max="1523" width="13.28515625" customWidth="1"/>
    <col min="1524" max="1524" width="7.7109375" bestFit="1" customWidth="1"/>
    <col min="1525" max="1525" width="14.7109375" customWidth="1"/>
    <col min="1526" max="1526" width="7.85546875" bestFit="1" customWidth="1"/>
    <col min="1775" max="1775" width="37.42578125" bestFit="1" customWidth="1"/>
    <col min="1776" max="1776" width="13.85546875" bestFit="1" customWidth="1"/>
    <col min="1777" max="1777" width="13.42578125" customWidth="1"/>
    <col min="1778" max="1778" width="7.85546875" bestFit="1" customWidth="1"/>
    <col min="1779" max="1779" width="13.28515625" customWidth="1"/>
    <col min="1780" max="1780" width="7.7109375" bestFit="1" customWidth="1"/>
    <col min="1781" max="1781" width="14.7109375" customWidth="1"/>
    <col min="1782" max="1782" width="7.85546875" bestFit="1" customWidth="1"/>
    <col min="2031" max="2031" width="37.42578125" bestFit="1" customWidth="1"/>
    <col min="2032" max="2032" width="13.85546875" bestFit="1" customWidth="1"/>
    <col min="2033" max="2033" width="13.42578125" customWidth="1"/>
    <col min="2034" max="2034" width="7.85546875" bestFit="1" customWidth="1"/>
    <col min="2035" max="2035" width="13.28515625" customWidth="1"/>
    <col min="2036" max="2036" width="7.7109375" bestFit="1" customWidth="1"/>
    <col min="2037" max="2037" width="14.7109375" customWidth="1"/>
    <col min="2038" max="2038" width="7.85546875" bestFit="1" customWidth="1"/>
    <col min="2287" max="2287" width="37.42578125" bestFit="1" customWidth="1"/>
    <col min="2288" max="2288" width="13.85546875" bestFit="1" customWidth="1"/>
    <col min="2289" max="2289" width="13.42578125" customWidth="1"/>
    <col min="2290" max="2290" width="7.85546875" bestFit="1" customWidth="1"/>
    <col min="2291" max="2291" width="13.28515625" customWidth="1"/>
    <col min="2292" max="2292" width="7.7109375" bestFit="1" customWidth="1"/>
    <col min="2293" max="2293" width="14.7109375" customWidth="1"/>
    <col min="2294" max="2294" width="7.85546875" bestFit="1" customWidth="1"/>
    <col min="2543" max="2543" width="37.42578125" bestFit="1" customWidth="1"/>
    <col min="2544" max="2544" width="13.85546875" bestFit="1" customWidth="1"/>
    <col min="2545" max="2545" width="13.42578125" customWidth="1"/>
    <col min="2546" max="2546" width="7.85546875" bestFit="1" customWidth="1"/>
    <col min="2547" max="2547" width="13.28515625" customWidth="1"/>
    <col min="2548" max="2548" width="7.7109375" bestFit="1" customWidth="1"/>
    <col min="2549" max="2549" width="14.7109375" customWidth="1"/>
    <col min="2550" max="2550" width="7.85546875" bestFit="1" customWidth="1"/>
    <col min="2799" max="2799" width="37.42578125" bestFit="1" customWidth="1"/>
    <col min="2800" max="2800" width="13.85546875" bestFit="1" customWidth="1"/>
    <col min="2801" max="2801" width="13.42578125" customWidth="1"/>
    <col min="2802" max="2802" width="7.85546875" bestFit="1" customWidth="1"/>
    <col min="2803" max="2803" width="13.28515625" customWidth="1"/>
    <col min="2804" max="2804" width="7.7109375" bestFit="1" customWidth="1"/>
    <col min="2805" max="2805" width="14.7109375" customWidth="1"/>
    <col min="2806" max="2806" width="7.85546875" bestFit="1" customWidth="1"/>
    <col min="3055" max="3055" width="37.42578125" bestFit="1" customWidth="1"/>
    <col min="3056" max="3056" width="13.85546875" bestFit="1" customWidth="1"/>
    <col min="3057" max="3057" width="13.42578125" customWidth="1"/>
    <col min="3058" max="3058" width="7.85546875" bestFit="1" customWidth="1"/>
    <col min="3059" max="3059" width="13.28515625" customWidth="1"/>
    <col min="3060" max="3060" width="7.7109375" bestFit="1" customWidth="1"/>
    <col min="3061" max="3061" width="14.7109375" customWidth="1"/>
    <col min="3062" max="3062" width="7.85546875" bestFit="1" customWidth="1"/>
    <col min="3311" max="3311" width="37.42578125" bestFit="1" customWidth="1"/>
    <col min="3312" max="3312" width="13.85546875" bestFit="1" customWidth="1"/>
    <col min="3313" max="3313" width="13.42578125" customWidth="1"/>
    <col min="3314" max="3314" width="7.85546875" bestFit="1" customWidth="1"/>
    <col min="3315" max="3315" width="13.28515625" customWidth="1"/>
    <col min="3316" max="3316" width="7.7109375" bestFit="1" customWidth="1"/>
    <col min="3317" max="3317" width="14.7109375" customWidth="1"/>
    <col min="3318" max="3318" width="7.85546875" bestFit="1" customWidth="1"/>
    <col min="3567" max="3567" width="37.42578125" bestFit="1" customWidth="1"/>
    <col min="3568" max="3568" width="13.85546875" bestFit="1" customWidth="1"/>
    <col min="3569" max="3569" width="13.42578125" customWidth="1"/>
    <col min="3570" max="3570" width="7.85546875" bestFit="1" customWidth="1"/>
    <col min="3571" max="3571" width="13.28515625" customWidth="1"/>
    <col min="3572" max="3572" width="7.7109375" bestFit="1" customWidth="1"/>
    <col min="3573" max="3573" width="14.7109375" customWidth="1"/>
    <col min="3574" max="3574" width="7.85546875" bestFit="1" customWidth="1"/>
    <col min="3823" max="3823" width="37.42578125" bestFit="1" customWidth="1"/>
    <col min="3824" max="3824" width="13.85546875" bestFit="1" customWidth="1"/>
    <col min="3825" max="3825" width="13.42578125" customWidth="1"/>
    <col min="3826" max="3826" width="7.85546875" bestFit="1" customWidth="1"/>
    <col min="3827" max="3827" width="13.28515625" customWidth="1"/>
    <col min="3828" max="3828" width="7.7109375" bestFit="1" customWidth="1"/>
    <col min="3829" max="3829" width="14.7109375" customWidth="1"/>
    <col min="3830" max="3830" width="7.85546875" bestFit="1" customWidth="1"/>
    <col min="4079" max="4079" width="37.42578125" bestFit="1" customWidth="1"/>
    <col min="4080" max="4080" width="13.85546875" bestFit="1" customWidth="1"/>
    <col min="4081" max="4081" width="13.42578125" customWidth="1"/>
    <col min="4082" max="4082" width="7.85546875" bestFit="1" customWidth="1"/>
    <col min="4083" max="4083" width="13.28515625" customWidth="1"/>
    <col min="4084" max="4084" width="7.7109375" bestFit="1" customWidth="1"/>
    <col min="4085" max="4085" width="14.7109375" customWidth="1"/>
    <col min="4086" max="4086" width="7.85546875" bestFit="1" customWidth="1"/>
    <col min="4335" max="4335" width="37.42578125" bestFit="1" customWidth="1"/>
    <col min="4336" max="4336" width="13.85546875" bestFit="1" customWidth="1"/>
    <col min="4337" max="4337" width="13.42578125" customWidth="1"/>
    <col min="4338" max="4338" width="7.85546875" bestFit="1" customWidth="1"/>
    <col min="4339" max="4339" width="13.28515625" customWidth="1"/>
    <col min="4340" max="4340" width="7.7109375" bestFit="1" customWidth="1"/>
    <col min="4341" max="4341" width="14.7109375" customWidth="1"/>
    <col min="4342" max="4342" width="7.85546875" bestFit="1" customWidth="1"/>
    <col min="4591" max="4591" width="37.42578125" bestFit="1" customWidth="1"/>
    <col min="4592" max="4592" width="13.85546875" bestFit="1" customWidth="1"/>
    <col min="4593" max="4593" width="13.42578125" customWidth="1"/>
    <col min="4594" max="4594" width="7.85546875" bestFit="1" customWidth="1"/>
    <col min="4595" max="4595" width="13.28515625" customWidth="1"/>
    <col min="4596" max="4596" width="7.7109375" bestFit="1" customWidth="1"/>
    <col min="4597" max="4597" width="14.7109375" customWidth="1"/>
    <col min="4598" max="4598" width="7.85546875" bestFit="1" customWidth="1"/>
    <col min="4847" max="4847" width="37.42578125" bestFit="1" customWidth="1"/>
    <col min="4848" max="4848" width="13.85546875" bestFit="1" customWidth="1"/>
    <col min="4849" max="4849" width="13.42578125" customWidth="1"/>
    <col min="4850" max="4850" width="7.85546875" bestFit="1" customWidth="1"/>
    <col min="4851" max="4851" width="13.28515625" customWidth="1"/>
    <col min="4852" max="4852" width="7.7109375" bestFit="1" customWidth="1"/>
    <col min="4853" max="4853" width="14.7109375" customWidth="1"/>
    <col min="4854" max="4854" width="7.85546875" bestFit="1" customWidth="1"/>
    <col min="5103" max="5103" width="37.42578125" bestFit="1" customWidth="1"/>
    <col min="5104" max="5104" width="13.85546875" bestFit="1" customWidth="1"/>
    <col min="5105" max="5105" width="13.42578125" customWidth="1"/>
    <col min="5106" max="5106" width="7.85546875" bestFit="1" customWidth="1"/>
    <col min="5107" max="5107" width="13.28515625" customWidth="1"/>
    <col min="5108" max="5108" width="7.7109375" bestFit="1" customWidth="1"/>
    <col min="5109" max="5109" width="14.7109375" customWidth="1"/>
    <col min="5110" max="5110" width="7.85546875" bestFit="1" customWidth="1"/>
    <col min="5359" max="5359" width="37.42578125" bestFit="1" customWidth="1"/>
    <col min="5360" max="5360" width="13.85546875" bestFit="1" customWidth="1"/>
    <col min="5361" max="5361" width="13.42578125" customWidth="1"/>
    <col min="5362" max="5362" width="7.85546875" bestFit="1" customWidth="1"/>
    <col min="5363" max="5363" width="13.28515625" customWidth="1"/>
    <col min="5364" max="5364" width="7.7109375" bestFit="1" customWidth="1"/>
    <col min="5365" max="5365" width="14.7109375" customWidth="1"/>
    <col min="5366" max="5366" width="7.85546875" bestFit="1" customWidth="1"/>
    <col min="5615" max="5615" width="37.42578125" bestFit="1" customWidth="1"/>
    <col min="5616" max="5616" width="13.85546875" bestFit="1" customWidth="1"/>
    <col min="5617" max="5617" width="13.42578125" customWidth="1"/>
    <col min="5618" max="5618" width="7.85546875" bestFit="1" customWidth="1"/>
    <col min="5619" max="5619" width="13.28515625" customWidth="1"/>
    <col min="5620" max="5620" width="7.7109375" bestFit="1" customWidth="1"/>
    <col min="5621" max="5621" width="14.7109375" customWidth="1"/>
    <col min="5622" max="5622" width="7.85546875" bestFit="1" customWidth="1"/>
    <col min="5871" max="5871" width="37.42578125" bestFit="1" customWidth="1"/>
    <col min="5872" max="5872" width="13.85546875" bestFit="1" customWidth="1"/>
    <col min="5873" max="5873" width="13.42578125" customWidth="1"/>
    <col min="5874" max="5874" width="7.85546875" bestFit="1" customWidth="1"/>
    <col min="5875" max="5875" width="13.28515625" customWidth="1"/>
    <col min="5876" max="5876" width="7.7109375" bestFit="1" customWidth="1"/>
    <col min="5877" max="5877" width="14.7109375" customWidth="1"/>
    <col min="5878" max="5878" width="7.85546875" bestFit="1" customWidth="1"/>
    <col min="6127" max="6127" width="37.42578125" bestFit="1" customWidth="1"/>
    <col min="6128" max="6128" width="13.85546875" bestFit="1" customWidth="1"/>
    <col min="6129" max="6129" width="13.42578125" customWidth="1"/>
    <col min="6130" max="6130" width="7.85546875" bestFit="1" customWidth="1"/>
    <col min="6131" max="6131" width="13.28515625" customWidth="1"/>
    <col min="6132" max="6132" width="7.7109375" bestFit="1" customWidth="1"/>
    <col min="6133" max="6133" width="14.7109375" customWidth="1"/>
    <col min="6134" max="6134" width="7.85546875" bestFit="1" customWidth="1"/>
    <col min="6383" max="6383" width="37.42578125" bestFit="1" customWidth="1"/>
    <col min="6384" max="6384" width="13.85546875" bestFit="1" customWidth="1"/>
    <col min="6385" max="6385" width="13.42578125" customWidth="1"/>
    <col min="6386" max="6386" width="7.85546875" bestFit="1" customWidth="1"/>
    <col min="6387" max="6387" width="13.28515625" customWidth="1"/>
    <col min="6388" max="6388" width="7.7109375" bestFit="1" customWidth="1"/>
    <col min="6389" max="6389" width="14.7109375" customWidth="1"/>
    <col min="6390" max="6390" width="7.85546875" bestFit="1" customWidth="1"/>
    <col min="6639" max="6639" width="37.42578125" bestFit="1" customWidth="1"/>
    <col min="6640" max="6640" width="13.85546875" bestFit="1" customWidth="1"/>
    <col min="6641" max="6641" width="13.42578125" customWidth="1"/>
    <col min="6642" max="6642" width="7.85546875" bestFit="1" customWidth="1"/>
    <col min="6643" max="6643" width="13.28515625" customWidth="1"/>
    <col min="6644" max="6644" width="7.7109375" bestFit="1" customWidth="1"/>
    <col min="6645" max="6645" width="14.7109375" customWidth="1"/>
    <col min="6646" max="6646" width="7.85546875" bestFit="1" customWidth="1"/>
    <col min="6895" max="6895" width="37.42578125" bestFit="1" customWidth="1"/>
    <col min="6896" max="6896" width="13.85546875" bestFit="1" customWidth="1"/>
    <col min="6897" max="6897" width="13.42578125" customWidth="1"/>
    <col min="6898" max="6898" width="7.85546875" bestFit="1" customWidth="1"/>
    <col min="6899" max="6899" width="13.28515625" customWidth="1"/>
    <col min="6900" max="6900" width="7.7109375" bestFit="1" customWidth="1"/>
    <col min="6901" max="6901" width="14.7109375" customWidth="1"/>
    <col min="6902" max="6902" width="7.85546875" bestFit="1" customWidth="1"/>
    <col min="7151" max="7151" width="37.42578125" bestFit="1" customWidth="1"/>
    <col min="7152" max="7152" width="13.85546875" bestFit="1" customWidth="1"/>
    <col min="7153" max="7153" width="13.42578125" customWidth="1"/>
    <col min="7154" max="7154" width="7.85546875" bestFit="1" customWidth="1"/>
    <col min="7155" max="7155" width="13.28515625" customWidth="1"/>
    <col min="7156" max="7156" width="7.7109375" bestFit="1" customWidth="1"/>
    <col min="7157" max="7157" width="14.7109375" customWidth="1"/>
    <col min="7158" max="7158" width="7.85546875" bestFit="1" customWidth="1"/>
    <col min="7407" max="7407" width="37.42578125" bestFit="1" customWidth="1"/>
    <col min="7408" max="7408" width="13.85546875" bestFit="1" customWidth="1"/>
    <col min="7409" max="7409" width="13.42578125" customWidth="1"/>
    <col min="7410" max="7410" width="7.85546875" bestFit="1" customWidth="1"/>
    <col min="7411" max="7411" width="13.28515625" customWidth="1"/>
    <col min="7412" max="7412" width="7.7109375" bestFit="1" customWidth="1"/>
    <col min="7413" max="7413" width="14.7109375" customWidth="1"/>
    <col min="7414" max="7414" width="7.85546875" bestFit="1" customWidth="1"/>
    <col min="7663" max="7663" width="37.42578125" bestFit="1" customWidth="1"/>
    <col min="7664" max="7664" width="13.85546875" bestFit="1" customWidth="1"/>
    <col min="7665" max="7665" width="13.42578125" customWidth="1"/>
    <col min="7666" max="7666" width="7.85546875" bestFit="1" customWidth="1"/>
    <col min="7667" max="7667" width="13.28515625" customWidth="1"/>
    <col min="7668" max="7668" width="7.7109375" bestFit="1" customWidth="1"/>
    <col min="7669" max="7669" width="14.7109375" customWidth="1"/>
    <col min="7670" max="7670" width="7.85546875" bestFit="1" customWidth="1"/>
    <col min="7919" max="7919" width="37.42578125" bestFit="1" customWidth="1"/>
    <col min="7920" max="7920" width="13.85546875" bestFit="1" customWidth="1"/>
    <col min="7921" max="7921" width="13.42578125" customWidth="1"/>
    <col min="7922" max="7922" width="7.85546875" bestFit="1" customWidth="1"/>
    <col min="7923" max="7923" width="13.28515625" customWidth="1"/>
    <col min="7924" max="7924" width="7.7109375" bestFit="1" customWidth="1"/>
    <col min="7925" max="7925" width="14.7109375" customWidth="1"/>
    <col min="7926" max="7926" width="7.85546875" bestFit="1" customWidth="1"/>
    <col min="8175" max="8175" width="37.42578125" bestFit="1" customWidth="1"/>
    <col min="8176" max="8176" width="13.85546875" bestFit="1" customWidth="1"/>
    <col min="8177" max="8177" width="13.42578125" customWidth="1"/>
    <col min="8178" max="8178" width="7.85546875" bestFit="1" customWidth="1"/>
    <col min="8179" max="8179" width="13.28515625" customWidth="1"/>
    <col min="8180" max="8180" width="7.7109375" bestFit="1" customWidth="1"/>
    <col min="8181" max="8181" width="14.7109375" customWidth="1"/>
    <col min="8182" max="8182" width="7.85546875" bestFit="1" customWidth="1"/>
    <col min="8431" max="8431" width="37.42578125" bestFit="1" customWidth="1"/>
    <col min="8432" max="8432" width="13.85546875" bestFit="1" customWidth="1"/>
    <col min="8433" max="8433" width="13.42578125" customWidth="1"/>
    <col min="8434" max="8434" width="7.85546875" bestFit="1" customWidth="1"/>
    <col min="8435" max="8435" width="13.28515625" customWidth="1"/>
    <col min="8436" max="8436" width="7.7109375" bestFit="1" customWidth="1"/>
    <col min="8437" max="8437" width="14.7109375" customWidth="1"/>
    <col min="8438" max="8438" width="7.85546875" bestFit="1" customWidth="1"/>
    <col min="8687" max="8687" width="37.42578125" bestFit="1" customWidth="1"/>
    <col min="8688" max="8688" width="13.85546875" bestFit="1" customWidth="1"/>
    <col min="8689" max="8689" width="13.42578125" customWidth="1"/>
    <col min="8690" max="8690" width="7.85546875" bestFit="1" customWidth="1"/>
    <col min="8691" max="8691" width="13.28515625" customWidth="1"/>
    <col min="8692" max="8692" width="7.7109375" bestFit="1" customWidth="1"/>
    <col min="8693" max="8693" width="14.7109375" customWidth="1"/>
    <col min="8694" max="8694" width="7.85546875" bestFit="1" customWidth="1"/>
    <col min="8943" max="8943" width="37.42578125" bestFit="1" customWidth="1"/>
    <col min="8944" max="8944" width="13.85546875" bestFit="1" customWidth="1"/>
    <col min="8945" max="8945" width="13.42578125" customWidth="1"/>
    <col min="8946" max="8946" width="7.85546875" bestFit="1" customWidth="1"/>
    <col min="8947" max="8947" width="13.28515625" customWidth="1"/>
    <col min="8948" max="8948" width="7.7109375" bestFit="1" customWidth="1"/>
    <col min="8949" max="8949" width="14.7109375" customWidth="1"/>
    <col min="8950" max="8950" width="7.85546875" bestFit="1" customWidth="1"/>
    <col min="9199" max="9199" width="37.42578125" bestFit="1" customWidth="1"/>
    <col min="9200" max="9200" width="13.85546875" bestFit="1" customWidth="1"/>
    <col min="9201" max="9201" width="13.42578125" customWidth="1"/>
    <col min="9202" max="9202" width="7.85546875" bestFit="1" customWidth="1"/>
    <col min="9203" max="9203" width="13.28515625" customWidth="1"/>
    <col min="9204" max="9204" width="7.7109375" bestFit="1" customWidth="1"/>
    <col min="9205" max="9205" width="14.7109375" customWidth="1"/>
    <col min="9206" max="9206" width="7.85546875" bestFit="1" customWidth="1"/>
    <col min="9455" max="9455" width="37.42578125" bestFit="1" customWidth="1"/>
    <col min="9456" max="9456" width="13.85546875" bestFit="1" customWidth="1"/>
    <col min="9457" max="9457" width="13.42578125" customWidth="1"/>
    <col min="9458" max="9458" width="7.85546875" bestFit="1" customWidth="1"/>
    <col min="9459" max="9459" width="13.28515625" customWidth="1"/>
    <col min="9460" max="9460" width="7.7109375" bestFit="1" customWidth="1"/>
    <col min="9461" max="9461" width="14.7109375" customWidth="1"/>
    <col min="9462" max="9462" width="7.85546875" bestFit="1" customWidth="1"/>
    <col min="9711" max="9711" width="37.42578125" bestFit="1" customWidth="1"/>
    <col min="9712" max="9712" width="13.85546875" bestFit="1" customWidth="1"/>
    <col min="9713" max="9713" width="13.42578125" customWidth="1"/>
    <col min="9714" max="9714" width="7.85546875" bestFit="1" customWidth="1"/>
    <col min="9715" max="9715" width="13.28515625" customWidth="1"/>
    <col min="9716" max="9716" width="7.7109375" bestFit="1" customWidth="1"/>
    <col min="9717" max="9717" width="14.7109375" customWidth="1"/>
    <col min="9718" max="9718" width="7.85546875" bestFit="1" customWidth="1"/>
    <col min="9967" max="9967" width="37.42578125" bestFit="1" customWidth="1"/>
    <col min="9968" max="9968" width="13.85546875" bestFit="1" customWidth="1"/>
    <col min="9969" max="9969" width="13.42578125" customWidth="1"/>
    <col min="9970" max="9970" width="7.85546875" bestFit="1" customWidth="1"/>
    <col min="9971" max="9971" width="13.28515625" customWidth="1"/>
    <col min="9972" max="9972" width="7.7109375" bestFit="1" customWidth="1"/>
    <col min="9973" max="9973" width="14.7109375" customWidth="1"/>
    <col min="9974" max="9974" width="7.85546875" bestFit="1" customWidth="1"/>
    <col min="10223" max="10223" width="37.42578125" bestFit="1" customWidth="1"/>
    <col min="10224" max="10224" width="13.85546875" bestFit="1" customWidth="1"/>
    <col min="10225" max="10225" width="13.42578125" customWidth="1"/>
    <col min="10226" max="10226" width="7.85546875" bestFit="1" customWidth="1"/>
    <col min="10227" max="10227" width="13.28515625" customWidth="1"/>
    <col min="10228" max="10228" width="7.7109375" bestFit="1" customWidth="1"/>
    <col min="10229" max="10229" width="14.7109375" customWidth="1"/>
    <col min="10230" max="10230" width="7.85546875" bestFit="1" customWidth="1"/>
    <col min="10479" max="10479" width="37.42578125" bestFit="1" customWidth="1"/>
    <col min="10480" max="10480" width="13.85546875" bestFit="1" customWidth="1"/>
    <col min="10481" max="10481" width="13.42578125" customWidth="1"/>
    <col min="10482" max="10482" width="7.85546875" bestFit="1" customWidth="1"/>
    <col min="10483" max="10483" width="13.28515625" customWidth="1"/>
    <col min="10484" max="10484" width="7.7109375" bestFit="1" customWidth="1"/>
    <col min="10485" max="10485" width="14.7109375" customWidth="1"/>
    <col min="10486" max="10486" width="7.85546875" bestFit="1" customWidth="1"/>
    <col min="10735" max="10735" width="37.42578125" bestFit="1" customWidth="1"/>
    <col min="10736" max="10736" width="13.85546875" bestFit="1" customWidth="1"/>
    <col min="10737" max="10737" width="13.42578125" customWidth="1"/>
    <col min="10738" max="10738" width="7.85546875" bestFit="1" customWidth="1"/>
    <col min="10739" max="10739" width="13.28515625" customWidth="1"/>
    <col min="10740" max="10740" width="7.7109375" bestFit="1" customWidth="1"/>
    <col min="10741" max="10741" width="14.7109375" customWidth="1"/>
    <col min="10742" max="10742" width="7.85546875" bestFit="1" customWidth="1"/>
    <col min="10991" max="10991" width="37.42578125" bestFit="1" customWidth="1"/>
    <col min="10992" max="10992" width="13.85546875" bestFit="1" customWidth="1"/>
    <col min="10993" max="10993" width="13.42578125" customWidth="1"/>
    <col min="10994" max="10994" width="7.85546875" bestFit="1" customWidth="1"/>
    <col min="10995" max="10995" width="13.28515625" customWidth="1"/>
    <col min="10996" max="10996" width="7.7109375" bestFit="1" customWidth="1"/>
    <col min="10997" max="10997" width="14.7109375" customWidth="1"/>
    <col min="10998" max="10998" width="7.85546875" bestFit="1" customWidth="1"/>
    <col min="11247" max="11247" width="37.42578125" bestFit="1" customWidth="1"/>
    <col min="11248" max="11248" width="13.85546875" bestFit="1" customWidth="1"/>
    <col min="11249" max="11249" width="13.42578125" customWidth="1"/>
    <col min="11250" max="11250" width="7.85546875" bestFit="1" customWidth="1"/>
    <col min="11251" max="11251" width="13.28515625" customWidth="1"/>
    <col min="11252" max="11252" width="7.7109375" bestFit="1" customWidth="1"/>
    <col min="11253" max="11253" width="14.7109375" customWidth="1"/>
    <col min="11254" max="11254" width="7.85546875" bestFit="1" customWidth="1"/>
    <col min="11503" max="11503" width="37.42578125" bestFit="1" customWidth="1"/>
    <col min="11504" max="11504" width="13.85546875" bestFit="1" customWidth="1"/>
    <col min="11505" max="11505" width="13.42578125" customWidth="1"/>
    <col min="11506" max="11506" width="7.85546875" bestFit="1" customWidth="1"/>
    <col min="11507" max="11507" width="13.28515625" customWidth="1"/>
    <col min="11508" max="11508" width="7.7109375" bestFit="1" customWidth="1"/>
    <col min="11509" max="11509" width="14.7109375" customWidth="1"/>
    <col min="11510" max="11510" width="7.85546875" bestFit="1" customWidth="1"/>
    <col min="11759" max="11759" width="37.42578125" bestFit="1" customWidth="1"/>
    <col min="11760" max="11760" width="13.85546875" bestFit="1" customWidth="1"/>
    <col min="11761" max="11761" width="13.42578125" customWidth="1"/>
    <col min="11762" max="11762" width="7.85546875" bestFit="1" customWidth="1"/>
    <col min="11763" max="11763" width="13.28515625" customWidth="1"/>
    <col min="11764" max="11764" width="7.7109375" bestFit="1" customWidth="1"/>
    <col min="11765" max="11765" width="14.7109375" customWidth="1"/>
    <col min="11766" max="11766" width="7.85546875" bestFit="1" customWidth="1"/>
    <col min="12015" max="12015" width="37.42578125" bestFit="1" customWidth="1"/>
    <col min="12016" max="12016" width="13.85546875" bestFit="1" customWidth="1"/>
    <col min="12017" max="12017" width="13.42578125" customWidth="1"/>
    <col min="12018" max="12018" width="7.85546875" bestFit="1" customWidth="1"/>
    <col min="12019" max="12019" width="13.28515625" customWidth="1"/>
    <col min="12020" max="12020" width="7.7109375" bestFit="1" customWidth="1"/>
    <col min="12021" max="12021" width="14.7109375" customWidth="1"/>
    <col min="12022" max="12022" width="7.85546875" bestFit="1" customWidth="1"/>
    <col min="12271" max="12271" width="37.42578125" bestFit="1" customWidth="1"/>
    <col min="12272" max="12272" width="13.85546875" bestFit="1" customWidth="1"/>
    <col min="12273" max="12273" width="13.42578125" customWidth="1"/>
    <col min="12274" max="12274" width="7.85546875" bestFit="1" customWidth="1"/>
    <col min="12275" max="12275" width="13.28515625" customWidth="1"/>
    <col min="12276" max="12276" width="7.7109375" bestFit="1" customWidth="1"/>
    <col min="12277" max="12277" width="14.7109375" customWidth="1"/>
    <col min="12278" max="12278" width="7.85546875" bestFit="1" customWidth="1"/>
    <col min="12527" max="12527" width="37.42578125" bestFit="1" customWidth="1"/>
    <col min="12528" max="12528" width="13.85546875" bestFit="1" customWidth="1"/>
    <col min="12529" max="12529" width="13.42578125" customWidth="1"/>
    <col min="12530" max="12530" width="7.85546875" bestFit="1" customWidth="1"/>
    <col min="12531" max="12531" width="13.28515625" customWidth="1"/>
    <col min="12532" max="12532" width="7.7109375" bestFit="1" customWidth="1"/>
    <col min="12533" max="12533" width="14.7109375" customWidth="1"/>
    <col min="12534" max="12534" width="7.85546875" bestFit="1" customWidth="1"/>
    <col min="12783" max="12783" width="37.42578125" bestFit="1" customWidth="1"/>
    <col min="12784" max="12784" width="13.85546875" bestFit="1" customWidth="1"/>
    <col min="12785" max="12785" width="13.42578125" customWidth="1"/>
    <col min="12786" max="12786" width="7.85546875" bestFit="1" customWidth="1"/>
    <col min="12787" max="12787" width="13.28515625" customWidth="1"/>
    <col min="12788" max="12788" width="7.7109375" bestFit="1" customWidth="1"/>
    <col min="12789" max="12789" width="14.7109375" customWidth="1"/>
    <col min="12790" max="12790" width="7.85546875" bestFit="1" customWidth="1"/>
    <col min="13039" max="13039" width="37.42578125" bestFit="1" customWidth="1"/>
    <col min="13040" max="13040" width="13.85546875" bestFit="1" customWidth="1"/>
    <col min="13041" max="13041" width="13.42578125" customWidth="1"/>
    <col min="13042" max="13042" width="7.85546875" bestFit="1" customWidth="1"/>
    <col min="13043" max="13043" width="13.28515625" customWidth="1"/>
    <col min="13044" max="13044" width="7.7109375" bestFit="1" customWidth="1"/>
    <col min="13045" max="13045" width="14.7109375" customWidth="1"/>
    <col min="13046" max="13046" width="7.85546875" bestFit="1" customWidth="1"/>
    <col min="13295" max="13295" width="37.42578125" bestFit="1" customWidth="1"/>
    <col min="13296" max="13296" width="13.85546875" bestFit="1" customWidth="1"/>
    <col min="13297" max="13297" width="13.42578125" customWidth="1"/>
    <col min="13298" max="13298" width="7.85546875" bestFit="1" customWidth="1"/>
    <col min="13299" max="13299" width="13.28515625" customWidth="1"/>
    <col min="13300" max="13300" width="7.7109375" bestFit="1" customWidth="1"/>
    <col min="13301" max="13301" width="14.7109375" customWidth="1"/>
    <col min="13302" max="13302" width="7.85546875" bestFit="1" customWidth="1"/>
    <col min="13551" max="13551" width="37.42578125" bestFit="1" customWidth="1"/>
    <col min="13552" max="13552" width="13.85546875" bestFit="1" customWidth="1"/>
    <col min="13553" max="13553" width="13.42578125" customWidth="1"/>
    <col min="13554" max="13554" width="7.85546875" bestFit="1" customWidth="1"/>
    <col min="13555" max="13555" width="13.28515625" customWidth="1"/>
    <col min="13556" max="13556" width="7.7109375" bestFit="1" customWidth="1"/>
    <col min="13557" max="13557" width="14.7109375" customWidth="1"/>
    <col min="13558" max="13558" width="7.85546875" bestFit="1" customWidth="1"/>
    <col min="13807" max="13807" width="37.42578125" bestFit="1" customWidth="1"/>
    <col min="13808" max="13808" width="13.85546875" bestFit="1" customWidth="1"/>
    <col min="13809" max="13809" width="13.42578125" customWidth="1"/>
    <col min="13810" max="13810" width="7.85546875" bestFit="1" customWidth="1"/>
    <col min="13811" max="13811" width="13.28515625" customWidth="1"/>
    <col min="13812" max="13812" width="7.7109375" bestFit="1" customWidth="1"/>
    <col min="13813" max="13813" width="14.7109375" customWidth="1"/>
    <col min="13814" max="13814" width="7.85546875" bestFit="1" customWidth="1"/>
    <col min="14063" max="14063" width="37.42578125" bestFit="1" customWidth="1"/>
    <col min="14064" max="14064" width="13.85546875" bestFit="1" customWidth="1"/>
    <col min="14065" max="14065" width="13.42578125" customWidth="1"/>
    <col min="14066" max="14066" width="7.85546875" bestFit="1" customWidth="1"/>
    <col min="14067" max="14067" width="13.28515625" customWidth="1"/>
    <col min="14068" max="14068" width="7.7109375" bestFit="1" customWidth="1"/>
    <col min="14069" max="14069" width="14.7109375" customWidth="1"/>
    <col min="14070" max="14070" width="7.85546875" bestFit="1" customWidth="1"/>
    <col min="14319" max="14319" width="37.42578125" bestFit="1" customWidth="1"/>
    <col min="14320" max="14320" width="13.85546875" bestFit="1" customWidth="1"/>
    <col min="14321" max="14321" width="13.42578125" customWidth="1"/>
    <col min="14322" max="14322" width="7.85546875" bestFit="1" customWidth="1"/>
    <col min="14323" max="14323" width="13.28515625" customWidth="1"/>
    <col min="14324" max="14324" width="7.7109375" bestFit="1" customWidth="1"/>
    <col min="14325" max="14325" width="14.7109375" customWidth="1"/>
    <col min="14326" max="14326" width="7.85546875" bestFit="1" customWidth="1"/>
    <col min="14575" max="14575" width="37.42578125" bestFit="1" customWidth="1"/>
    <col min="14576" max="14576" width="13.85546875" bestFit="1" customWidth="1"/>
    <col min="14577" max="14577" width="13.42578125" customWidth="1"/>
    <col min="14578" max="14578" width="7.85546875" bestFit="1" customWidth="1"/>
    <col min="14579" max="14579" width="13.28515625" customWidth="1"/>
    <col min="14580" max="14580" width="7.7109375" bestFit="1" customWidth="1"/>
    <col min="14581" max="14581" width="14.7109375" customWidth="1"/>
    <col min="14582" max="14582" width="7.85546875" bestFit="1" customWidth="1"/>
    <col min="14831" max="14831" width="37.42578125" bestFit="1" customWidth="1"/>
    <col min="14832" max="14832" width="13.85546875" bestFit="1" customWidth="1"/>
    <col min="14833" max="14833" width="13.42578125" customWidth="1"/>
    <col min="14834" max="14834" width="7.85546875" bestFit="1" customWidth="1"/>
    <col min="14835" max="14835" width="13.28515625" customWidth="1"/>
    <col min="14836" max="14836" width="7.7109375" bestFit="1" customWidth="1"/>
    <col min="14837" max="14837" width="14.7109375" customWidth="1"/>
    <col min="14838" max="14838" width="7.85546875" bestFit="1" customWidth="1"/>
    <col min="15087" max="15087" width="37.42578125" bestFit="1" customWidth="1"/>
    <col min="15088" max="15088" width="13.85546875" bestFit="1" customWidth="1"/>
    <col min="15089" max="15089" width="13.42578125" customWidth="1"/>
    <col min="15090" max="15090" width="7.85546875" bestFit="1" customWidth="1"/>
    <col min="15091" max="15091" width="13.28515625" customWidth="1"/>
    <col min="15092" max="15092" width="7.7109375" bestFit="1" customWidth="1"/>
    <col min="15093" max="15093" width="14.7109375" customWidth="1"/>
    <col min="15094" max="15094" width="7.85546875" bestFit="1" customWidth="1"/>
    <col min="15343" max="15343" width="37.42578125" bestFit="1" customWidth="1"/>
    <col min="15344" max="15344" width="13.85546875" bestFit="1" customWidth="1"/>
    <col min="15345" max="15345" width="13.42578125" customWidth="1"/>
    <col min="15346" max="15346" width="7.85546875" bestFit="1" customWidth="1"/>
    <col min="15347" max="15347" width="13.28515625" customWidth="1"/>
    <col min="15348" max="15348" width="7.7109375" bestFit="1" customWidth="1"/>
    <col min="15349" max="15349" width="14.7109375" customWidth="1"/>
    <col min="15350" max="15350" width="7.85546875" bestFit="1" customWidth="1"/>
    <col min="15599" max="15599" width="37.42578125" bestFit="1" customWidth="1"/>
    <col min="15600" max="15600" width="13.85546875" bestFit="1" customWidth="1"/>
    <col min="15601" max="15601" width="13.42578125" customWidth="1"/>
    <col min="15602" max="15602" width="7.85546875" bestFit="1" customWidth="1"/>
    <col min="15603" max="15603" width="13.28515625" customWidth="1"/>
    <col min="15604" max="15604" width="7.7109375" bestFit="1" customWidth="1"/>
    <col min="15605" max="15605" width="14.7109375" customWidth="1"/>
    <col min="15606" max="15606" width="7.85546875" bestFit="1" customWidth="1"/>
    <col min="15855" max="15855" width="37.42578125" bestFit="1" customWidth="1"/>
    <col min="15856" max="15856" width="13.85546875" bestFit="1" customWidth="1"/>
    <col min="15857" max="15857" width="13.42578125" customWidth="1"/>
    <col min="15858" max="15858" width="7.85546875" bestFit="1" customWidth="1"/>
    <col min="15859" max="15859" width="13.28515625" customWidth="1"/>
    <col min="15860" max="15860" width="7.7109375" bestFit="1" customWidth="1"/>
    <col min="15861" max="15861" width="14.7109375" customWidth="1"/>
    <col min="15862" max="15862" width="7.85546875" bestFit="1" customWidth="1"/>
    <col min="16111" max="16111" width="37.42578125" bestFit="1" customWidth="1"/>
    <col min="16112" max="16112" width="13.85546875" bestFit="1" customWidth="1"/>
    <col min="16113" max="16113" width="13.42578125" customWidth="1"/>
    <col min="16114" max="16114" width="7.85546875" bestFit="1" customWidth="1"/>
    <col min="16115" max="16115" width="13.28515625" customWidth="1"/>
    <col min="16116" max="16116" width="7.7109375" bestFit="1" customWidth="1"/>
    <col min="16117" max="16117" width="14.7109375" customWidth="1"/>
    <col min="16118" max="16118" width="7.85546875" bestFit="1" customWidth="1"/>
  </cols>
  <sheetData>
    <row r="2" spans="1:33" x14ac:dyDescent="0.25">
      <c r="H2" s="20"/>
      <c r="R2" s="375"/>
    </row>
    <row r="3" spans="1:33" ht="15.75" thickBot="1" x14ac:dyDescent="0.3">
      <c r="P3" s="20"/>
      <c r="U3" s="490"/>
      <c r="V3" s="87"/>
      <c r="W3" s="87"/>
      <c r="X3" s="87"/>
      <c r="Y3" s="87"/>
      <c r="Z3" s="87"/>
      <c r="AA3" s="87"/>
      <c r="AB3" s="87"/>
      <c r="AC3" s="87"/>
      <c r="AD3" s="87"/>
    </row>
    <row r="4" spans="1:33" ht="26.25" customHeight="1" thickBot="1" x14ac:dyDescent="0.3">
      <c r="B4" s="471" t="s">
        <v>0</v>
      </c>
      <c r="C4" s="492">
        <v>2020</v>
      </c>
      <c r="D4" s="494">
        <v>2021</v>
      </c>
      <c r="E4" s="496" t="s">
        <v>1</v>
      </c>
      <c r="F4" s="498" t="s">
        <v>439</v>
      </c>
      <c r="G4" s="494"/>
      <c r="H4" s="501" t="s">
        <v>440</v>
      </c>
      <c r="I4" s="502"/>
      <c r="J4" s="505" t="s">
        <v>333</v>
      </c>
      <c r="K4" s="502"/>
      <c r="L4"/>
      <c r="M4"/>
      <c r="O4"/>
      <c r="P4" s="398"/>
      <c r="U4" s="491"/>
      <c r="V4" s="87"/>
      <c r="W4" s="87"/>
      <c r="X4" s="87"/>
      <c r="Y4" s="87"/>
      <c r="Z4" s="87"/>
      <c r="AA4" s="87"/>
      <c r="AB4" s="87"/>
      <c r="AC4" s="87"/>
      <c r="AD4" s="87"/>
    </row>
    <row r="5" spans="1:33" ht="46.9" customHeight="1" thickBot="1" x14ac:dyDescent="0.3">
      <c r="B5" s="472"/>
      <c r="C5" s="493"/>
      <c r="D5" s="495"/>
      <c r="E5" s="497"/>
      <c r="F5" s="499"/>
      <c r="G5" s="500"/>
      <c r="H5" s="503"/>
      <c r="I5" s="504"/>
      <c r="J5" s="506"/>
      <c r="K5" s="504"/>
      <c r="L5"/>
      <c r="M5" s="448"/>
      <c r="N5" s="449">
        <f>SUM(N7:N25)</f>
        <v>52549320</v>
      </c>
      <c r="O5" s="450"/>
      <c r="P5" s="449">
        <f>SUM(P7:P25)</f>
        <v>51244839</v>
      </c>
      <c r="Q5" s="451"/>
      <c r="R5" s="449">
        <f>SUM(R7:R25)</f>
        <v>57041485.743625008</v>
      </c>
      <c r="S5" s="447">
        <f>SUM(S7:S25)</f>
        <v>52549</v>
      </c>
      <c r="T5" s="447">
        <f>SUM(T7:T25)</f>
        <v>51244</v>
      </c>
      <c r="U5" s="447">
        <f>SUM(U7:U25)</f>
        <v>57041.485743624988</v>
      </c>
      <c r="V5" s="447">
        <f>SUM(V7:V25)</f>
        <v>40250</v>
      </c>
      <c r="W5" s="390"/>
    </row>
    <row r="6" spans="1:33" ht="21.75" customHeight="1" x14ac:dyDescent="0.3">
      <c r="B6" s="116" t="s">
        <v>2</v>
      </c>
      <c r="C6" s="206"/>
      <c r="D6" s="223"/>
      <c r="E6" s="2"/>
      <c r="F6" s="2"/>
      <c r="G6" s="2"/>
      <c r="H6" s="223"/>
      <c r="I6" s="149"/>
      <c r="J6" s="242"/>
      <c r="K6" s="243"/>
      <c r="L6"/>
      <c r="M6" s="488">
        <v>2020</v>
      </c>
      <c r="N6" s="489"/>
      <c r="O6" s="488">
        <v>2021</v>
      </c>
      <c r="P6" s="488"/>
      <c r="Q6" s="488">
        <v>2022</v>
      </c>
      <c r="R6" s="488"/>
      <c r="S6" s="459">
        <v>2020</v>
      </c>
      <c r="T6" s="459">
        <v>2021</v>
      </c>
      <c r="U6" s="459">
        <v>2022</v>
      </c>
      <c r="V6" s="459" t="s">
        <v>441</v>
      </c>
      <c r="W6" s="391"/>
      <c r="X6" s="404" t="s">
        <v>409</v>
      </c>
      <c r="Y6" s="404" t="s">
        <v>408</v>
      </c>
      <c r="Z6" s="404" t="s">
        <v>434</v>
      </c>
      <c r="AA6" s="404" t="s">
        <v>435</v>
      </c>
      <c r="AB6" s="405" t="s">
        <v>410</v>
      </c>
      <c r="AC6" s="405" t="s">
        <v>361</v>
      </c>
      <c r="AD6" s="405" t="s">
        <v>407</v>
      </c>
      <c r="AE6" s="405" t="s">
        <v>436</v>
      </c>
    </row>
    <row r="7" spans="1:33" ht="16.5" x14ac:dyDescent="0.25">
      <c r="B7" s="116" t="s">
        <v>3</v>
      </c>
      <c r="C7" s="41">
        <v>37403</v>
      </c>
      <c r="D7" s="41">
        <v>34763</v>
      </c>
      <c r="E7" s="53">
        <f>D7/D11</f>
        <v>0.70243700965878664</v>
      </c>
      <c r="F7" s="4">
        <v>38764</v>
      </c>
      <c r="G7" s="53">
        <f>F7/D7</f>
        <v>1.1150936340361879</v>
      </c>
      <c r="H7" s="41">
        <v>40455</v>
      </c>
      <c r="I7" s="369">
        <f>+H7/F7-1</f>
        <v>4.3622949128056865E-2</v>
      </c>
      <c r="J7" s="244">
        <v>28000</v>
      </c>
      <c r="K7" s="118">
        <v>1.0566037735849056</v>
      </c>
      <c r="L7"/>
      <c r="M7" s="231" t="s">
        <v>303</v>
      </c>
      <c r="N7" s="230">
        <v>316170</v>
      </c>
      <c r="O7" s="231" t="s">
        <v>303</v>
      </c>
      <c r="P7" s="230">
        <v>321660</v>
      </c>
      <c r="Q7" s="232" t="s">
        <v>303</v>
      </c>
      <c r="R7" s="374">
        <v>346281.68725000002</v>
      </c>
      <c r="S7" s="238">
        <f>ROUND(N7/1000,0)</f>
        <v>316</v>
      </c>
      <c r="T7" s="388">
        <f>ROUND(P7/1000,0)</f>
        <v>322</v>
      </c>
      <c r="U7" s="239">
        <f>+R7/1000</f>
        <v>346.28168725</v>
      </c>
      <c r="V7" s="367">
        <f>ROUND(+AD7/1000,0)</f>
        <v>279</v>
      </c>
      <c r="W7" s="232" t="s">
        <v>303</v>
      </c>
      <c r="X7" s="402" t="s">
        <v>303</v>
      </c>
      <c r="Y7" s="402">
        <v>303055</v>
      </c>
      <c r="Z7" s="402">
        <v>13115</v>
      </c>
      <c r="AA7" s="402">
        <f>+Z7+Y7</f>
        <v>316170</v>
      </c>
      <c r="AB7" s="452">
        <v>277481.91000000003</v>
      </c>
      <c r="AC7" s="453">
        <v>1500</v>
      </c>
      <c r="AD7" s="453">
        <f t="shared" ref="AD7:AD25" si="0">+AC7+AB7</f>
        <v>278981.91000000003</v>
      </c>
      <c r="AE7" s="59">
        <f>+AD7/AA7</f>
        <v>0.88237944776544275</v>
      </c>
      <c r="AF7" s="458" t="s">
        <v>303</v>
      </c>
    </row>
    <row r="8" spans="1:33" ht="20.45" customHeight="1" x14ac:dyDescent="0.25">
      <c r="B8" s="116" t="s">
        <v>4</v>
      </c>
      <c r="C8" s="41">
        <v>990</v>
      </c>
      <c r="D8" s="41">
        <v>1739.3620617460565</v>
      </c>
      <c r="E8" s="53">
        <f>D8/D11</f>
        <v>3.5146341954573591E-2</v>
      </c>
      <c r="F8" s="4">
        <v>1670</v>
      </c>
      <c r="G8" s="53">
        <f>F8/D8</f>
        <v>0.96012212565081045</v>
      </c>
      <c r="H8" s="41">
        <v>1774</v>
      </c>
      <c r="I8" s="118">
        <f>+H8/F8-1</f>
        <v>6.2275449101796498E-2</v>
      </c>
      <c r="J8" s="244">
        <v>1514.5723666059914</v>
      </c>
      <c r="K8" s="118">
        <v>0.89513733250945116</v>
      </c>
      <c r="L8"/>
      <c r="M8" s="231" t="s">
        <v>400</v>
      </c>
      <c r="N8" s="20">
        <v>242440</v>
      </c>
      <c r="O8" s="231" t="s">
        <v>400</v>
      </c>
      <c r="P8" s="230">
        <v>236440</v>
      </c>
      <c r="Q8" s="232" t="s">
        <v>400</v>
      </c>
      <c r="R8" s="374">
        <v>279977.44787499995</v>
      </c>
      <c r="S8" s="238">
        <f t="shared" ref="S8:S25" si="1">ROUND(N8/1000,0)</f>
        <v>242</v>
      </c>
      <c r="T8" s="388">
        <f t="shared" ref="T8:T25" si="2">ROUND(P8/1000,0)</f>
        <v>236</v>
      </c>
      <c r="U8" s="239">
        <f t="shared" ref="U8:U25" si="3">+R8/1000</f>
        <v>279.97744787499994</v>
      </c>
      <c r="V8" s="367">
        <f t="shared" ref="V8:V25" si="4">ROUND(+AD8/1000,0)</f>
        <v>131</v>
      </c>
      <c r="W8" s="232" t="s">
        <v>400</v>
      </c>
      <c r="X8" s="402" t="s">
        <v>400</v>
      </c>
      <c r="Y8" s="402">
        <v>236440</v>
      </c>
      <c r="Z8" s="402">
        <v>6000</v>
      </c>
      <c r="AA8" s="402">
        <f t="shared" ref="AA8:AA25" si="5">+Z8+Y8</f>
        <v>242440</v>
      </c>
      <c r="AB8" s="452">
        <v>127086.39</v>
      </c>
      <c r="AC8" s="453">
        <v>3959</v>
      </c>
      <c r="AD8" s="453">
        <f t="shared" si="0"/>
        <v>131045.39</v>
      </c>
      <c r="AE8" s="59">
        <f t="shared" ref="AE8:AE26" si="6">+AD8/AA8</f>
        <v>0.54052709948853328</v>
      </c>
      <c r="AF8" s="458" t="s">
        <v>400</v>
      </c>
    </row>
    <row r="9" spans="1:33" ht="16.5" x14ac:dyDescent="0.25">
      <c r="B9" s="119" t="s">
        <v>5</v>
      </c>
      <c r="C9" s="30">
        <f>+C7+C8</f>
        <v>38393</v>
      </c>
      <c r="D9" s="43">
        <f>SUM(D7:D8)</f>
        <v>36502.362061746055</v>
      </c>
      <c r="E9" s="151">
        <f>D9/D11</f>
        <v>0.73758335161336019</v>
      </c>
      <c r="F9" s="30">
        <f>+F7+F8</f>
        <v>40434</v>
      </c>
      <c r="G9" s="71">
        <f>F9/D9</f>
        <v>1.1077091376060357</v>
      </c>
      <c r="H9" s="43">
        <f>SUM(H7:H8)</f>
        <v>42229</v>
      </c>
      <c r="I9" s="120">
        <f>+H9/F9-1</f>
        <v>4.4393332344066838E-2</v>
      </c>
      <c r="J9" s="245">
        <v>29514.572366605993</v>
      </c>
      <c r="K9" s="120">
        <v>1.0469130379755247</v>
      </c>
      <c r="L9"/>
      <c r="M9" s="231" t="s">
        <v>304</v>
      </c>
      <c r="N9" s="230">
        <v>306990</v>
      </c>
      <c r="O9" s="231" t="s">
        <v>304</v>
      </c>
      <c r="P9" s="230">
        <v>312480</v>
      </c>
      <c r="Q9" s="232" t="s">
        <v>304</v>
      </c>
      <c r="R9" s="374">
        <v>306990</v>
      </c>
      <c r="S9" s="238">
        <f t="shared" si="1"/>
        <v>307</v>
      </c>
      <c r="T9" s="388">
        <f t="shared" si="2"/>
        <v>312</v>
      </c>
      <c r="U9" s="239">
        <f t="shared" si="3"/>
        <v>306.99</v>
      </c>
      <c r="V9" s="367">
        <f t="shared" si="4"/>
        <v>190</v>
      </c>
      <c r="W9" s="232" t="s">
        <v>304</v>
      </c>
      <c r="X9" s="402" t="s">
        <v>304</v>
      </c>
      <c r="Y9" s="402">
        <v>212540</v>
      </c>
      <c r="Z9" s="402">
        <v>94450</v>
      </c>
      <c r="AA9" s="402">
        <f t="shared" si="5"/>
        <v>306990</v>
      </c>
      <c r="AB9" s="452">
        <v>135950</v>
      </c>
      <c r="AC9" s="453">
        <v>54111</v>
      </c>
      <c r="AD9" s="453">
        <f t="shared" si="0"/>
        <v>190061</v>
      </c>
      <c r="AE9" s="59">
        <f t="shared" si="6"/>
        <v>0.61911137170591879</v>
      </c>
      <c r="AF9" s="458" t="s">
        <v>304</v>
      </c>
    </row>
    <row r="10" spans="1:33" ht="23.45" customHeight="1" x14ac:dyDescent="0.25">
      <c r="B10" s="121" t="s">
        <v>6</v>
      </c>
      <c r="C10" s="42">
        <f>+C13-C9</f>
        <v>12425.875</v>
      </c>
      <c r="D10" s="42">
        <f>+D13-D9</f>
        <v>12986.772938253947</v>
      </c>
      <c r="E10" s="61">
        <f>D10/D11</f>
        <v>0.26241664838663975</v>
      </c>
      <c r="F10" s="42">
        <f>IF((+F13-F9)&lt;0,0,F13-F9)</f>
        <v>0</v>
      </c>
      <c r="G10" s="61">
        <f>F10/D10</f>
        <v>0</v>
      </c>
      <c r="H10" s="42">
        <f>+H13-H9</f>
        <v>14812.485743625002</v>
      </c>
      <c r="I10" s="122">
        <v>1</v>
      </c>
      <c r="J10" s="246">
        <v>13925.427633394007</v>
      </c>
      <c r="K10" s="122">
        <v>5.0582737498706889</v>
      </c>
      <c r="L10"/>
      <c r="M10" s="231" t="s">
        <v>305</v>
      </c>
      <c r="N10" s="230">
        <v>5822905</v>
      </c>
      <c r="O10" s="231" t="s">
        <v>305</v>
      </c>
      <c r="P10" s="230">
        <f>6772470+450000</f>
        <v>7222470</v>
      </c>
      <c r="Q10" s="232" t="s">
        <v>305</v>
      </c>
      <c r="R10" s="374">
        <v>7841184.2801249996</v>
      </c>
      <c r="S10" s="238">
        <f t="shared" si="1"/>
        <v>5823</v>
      </c>
      <c r="T10" s="387">
        <f t="shared" si="2"/>
        <v>7222</v>
      </c>
      <c r="U10" s="239">
        <f t="shared" si="3"/>
        <v>7841.1842801249995</v>
      </c>
      <c r="V10" s="367">
        <f t="shared" si="4"/>
        <v>2805</v>
      </c>
      <c r="W10" s="232" t="s">
        <v>305</v>
      </c>
      <c r="X10" s="402" t="s">
        <v>305</v>
      </c>
      <c r="Y10" s="402">
        <v>287560</v>
      </c>
      <c r="Z10" s="402">
        <v>5535345</v>
      </c>
      <c r="AA10" s="402">
        <f t="shared" si="5"/>
        <v>5822905</v>
      </c>
      <c r="AB10" s="452">
        <v>171704.06</v>
      </c>
      <c r="AC10" s="453">
        <f>2704580-AB10+100000</f>
        <v>2632875.94</v>
      </c>
      <c r="AD10" s="453">
        <f t="shared" si="0"/>
        <v>2804580</v>
      </c>
      <c r="AE10" s="59">
        <f t="shared" si="6"/>
        <v>0.48164618862921516</v>
      </c>
      <c r="AF10" s="458" t="s">
        <v>305</v>
      </c>
    </row>
    <row r="11" spans="1:33" ht="19.899999999999999" customHeight="1" x14ac:dyDescent="0.25">
      <c r="B11" s="123" t="s">
        <v>7</v>
      </c>
      <c r="C11" s="33">
        <f>+C9+C10</f>
        <v>50818.875</v>
      </c>
      <c r="D11" s="33">
        <f>SUM(D9:D10)</f>
        <v>49489.135000000002</v>
      </c>
      <c r="E11" s="152">
        <f>D11/D11</f>
        <v>1</v>
      </c>
      <c r="F11" s="33">
        <f>+F10+F9</f>
        <v>40434</v>
      </c>
      <c r="G11" s="34">
        <f>F11/D11</f>
        <v>0.8170278183282047</v>
      </c>
      <c r="H11" s="44">
        <f>SUM(H9:H10)</f>
        <v>57041.485743625002</v>
      </c>
      <c r="I11" s="248">
        <f>+H11/F11-1</f>
        <v>0.41073071532930205</v>
      </c>
      <c r="J11" s="247">
        <v>43440</v>
      </c>
      <c r="K11" s="248">
        <v>1.4037809015996121</v>
      </c>
      <c r="L11"/>
      <c r="M11" s="231" t="s">
        <v>312</v>
      </c>
      <c r="N11" s="230">
        <v>263190</v>
      </c>
      <c r="O11" s="231" t="s">
        <v>312</v>
      </c>
      <c r="P11" s="230">
        <v>264855</v>
      </c>
      <c r="Q11" s="232" t="s">
        <v>312</v>
      </c>
      <c r="R11" s="374">
        <v>268536.91737500002</v>
      </c>
      <c r="S11" s="238">
        <f t="shared" si="1"/>
        <v>263</v>
      </c>
      <c r="T11" s="388">
        <f t="shared" si="2"/>
        <v>265</v>
      </c>
      <c r="U11" s="239">
        <f t="shared" si="3"/>
        <v>268.53691737500003</v>
      </c>
      <c r="V11" s="367">
        <f t="shared" si="4"/>
        <v>237</v>
      </c>
      <c r="W11" s="232" t="s">
        <v>312</v>
      </c>
      <c r="X11" s="402" t="s">
        <v>312</v>
      </c>
      <c r="Y11" s="402">
        <v>215805</v>
      </c>
      <c r="Z11" s="402">
        <v>47385</v>
      </c>
      <c r="AA11" s="402">
        <f t="shared" si="5"/>
        <v>263190</v>
      </c>
      <c r="AB11" s="452">
        <v>210856.47</v>
      </c>
      <c r="AC11" s="453">
        <v>26222</v>
      </c>
      <c r="AD11" s="453">
        <f t="shared" si="0"/>
        <v>237078.47</v>
      </c>
      <c r="AE11" s="59">
        <f t="shared" si="6"/>
        <v>0.9007882898286409</v>
      </c>
      <c r="AF11" s="458" t="s">
        <v>312</v>
      </c>
    </row>
    <row r="12" spans="1:33" ht="21.6" customHeight="1" x14ac:dyDescent="0.25">
      <c r="B12" s="116" t="s">
        <v>8</v>
      </c>
      <c r="C12" s="208"/>
      <c r="D12" s="208"/>
      <c r="E12" s="209"/>
      <c r="F12" s="208"/>
      <c r="G12" s="206"/>
      <c r="H12" s="208"/>
      <c r="I12" s="210"/>
      <c r="J12" s="249"/>
      <c r="K12" s="210"/>
      <c r="L12"/>
      <c r="M12" s="231" t="s">
        <v>313</v>
      </c>
      <c r="N12" s="230">
        <v>408190</v>
      </c>
      <c r="O12" s="231" t="s">
        <v>313</v>
      </c>
      <c r="P12" s="230">
        <v>478550</v>
      </c>
      <c r="Q12" s="232" t="s">
        <v>313</v>
      </c>
      <c r="R12" s="374">
        <v>477385.82475000003</v>
      </c>
      <c r="S12" s="238">
        <f t="shared" si="1"/>
        <v>408</v>
      </c>
      <c r="T12" s="388">
        <f t="shared" si="2"/>
        <v>479</v>
      </c>
      <c r="U12" s="239">
        <f t="shared" si="3"/>
        <v>477.38582475000004</v>
      </c>
      <c r="V12" s="367">
        <f t="shared" si="4"/>
        <v>350</v>
      </c>
      <c r="W12" s="232" t="s">
        <v>313</v>
      </c>
      <c r="X12" s="402" t="s">
        <v>313</v>
      </c>
      <c r="Y12" s="402">
        <v>143580</v>
      </c>
      <c r="Z12" s="402">
        <v>264610</v>
      </c>
      <c r="AA12" s="402">
        <f t="shared" si="5"/>
        <v>408190</v>
      </c>
      <c r="AB12" s="452">
        <v>135164.82</v>
      </c>
      <c r="AC12" s="453">
        <f>350000-AB12</f>
        <v>214835.18</v>
      </c>
      <c r="AD12" s="453">
        <f t="shared" si="0"/>
        <v>350000</v>
      </c>
      <c r="AE12" s="59">
        <f t="shared" si="6"/>
        <v>0.85744383742864838</v>
      </c>
      <c r="AF12" s="458" t="s">
        <v>313</v>
      </c>
    </row>
    <row r="13" spans="1:33" ht="16.5" x14ac:dyDescent="0.25">
      <c r="B13" s="125" t="s">
        <v>9</v>
      </c>
      <c r="C13" s="33">
        <f>+C18+C24+C27+C28</f>
        <v>50818.875</v>
      </c>
      <c r="D13" s="33">
        <f>+D18+D24+D27+D28</f>
        <v>49489.135000000002</v>
      </c>
      <c r="E13" s="152">
        <v>1</v>
      </c>
      <c r="F13" s="33">
        <f>+F18+F24+F26+F28</f>
        <v>40250</v>
      </c>
      <c r="G13" s="34">
        <f>F13/D13</f>
        <v>0.81330983053148931</v>
      </c>
      <c r="H13" s="33">
        <f>+H18+H24+H27+H28</f>
        <v>57041.485743625002</v>
      </c>
      <c r="I13" s="251">
        <f>+H13/F13-1</f>
        <v>0.41717977002795026</v>
      </c>
      <c r="J13" s="250">
        <v>43440</v>
      </c>
      <c r="K13" s="251">
        <v>1.4037809015996121</v>
      </c>
      <c r="L13"/>
      <c r="M13" s="231" t="s">
        <v>314</v>
      </c>
      <c r="N13" s="230">
        <v>142920</v>
      </c>
      <c r="O13" s="231" t="s">
        <v>314</v>
      </c>
      <c r="P13" s="230">
        <v>142920</v>
      </c>
      <c r="Q13" s="232" t="s">
        <v>314</v>
      </c>
      <c r="R13" s="374">
        <v>158349.70962500002</v>
      </c>
      <c r="S13" s="238">
        <f t="shared" si="1"/>
        <v>143</v>
      </c>
      <c r="T13" s="388">
        <f t="shared" si="2"/>
        <v>143</v>
      </c>
      <c r="U13" s="239">
        <f t="shared" si="3"/>
        <v>158.34970962500003</v>
      </c>
      <c r="V13" s="367">
        <f t="shared" si="4"/>
        <v>111</v>
      </c>
      <c r="W13" s="232" t="s">
        <v>314</v>
      </c>
      <c r="X13" s="402" t="s">
        <v>314</v>
      </c>
      <c r="Y13" s="402">
        <v>124010</v>
      </c>
      <c r="Z13" s="402">
        <v>18910</v>
      </c>
      <c r="AA13" s="402">
        <f t="shared" si="5"/>
        <v>142920</v>
      </c>
      <c r="AB13" s="452">
        <v>92169.55</v>
      </c>
      <c r="AC13" s="453">
        <v>18910</v>
      </c>
      <c r="AD13" s="453">
        <f t="shared" si="0"/>
        <v>111079.55</v>
      </c>
      <c r="AE13" s="59">
        <f t="shared" si="6"/>
        <v>0.77721487545479995</v>
      </c>
      <c r="AF13" s="458" t="s">
        <v>314</v>
      </c>
    </row>
    <row r="14" spans="1:33" x14ac:dyDescent="0.25">
      <c r="B14" s="116" t="s">
        <v>329</v>
      </c>
      <c r="C14" s="21"/>
      <c r="D14" s="21"/>
      <c r="E14" s="64"/>
      <c r="F14" s="21"/>
      <c r="G14" s="2"/>
      <c r="H14" s="21"/>
      <c r="I14" s="130"/>
      <c r="J14" s="252"/>
      <c r="K14" s="130"/>
      <c r="L14"/>
      <c r="M14" s="231" t="s">
        <v>88</v>
      </c>
      <c r="N14" s="230">
        <v>19313320</v>
      </c>
      <c r="O14" s="231" t="s">
        <v>88</v>
      </c>
      <c r="P14" s="230">
        <v>17692490</v>
      </c>
      <c r="Q14" s="232" t="s">
        <v>88</v>
      </c>
      <c r="R14" s="374">
        <v>19965986.179625001</v>
      </c>
      <c r="S14" s="238">
        <f t="shared" si="1"/>
        <v>19313</v>
      </c>
      <c r="T14" s="387">
        <f t="shared" si="2"/>
        <v>17692</v>
      </c>
      <c r="U14" s="239">
        <f t="shared" si="3"/>
        <v>19965.986179625001</v>
      </c>
      <c r="V14" s="367">
        <f t="shared" si="4"/>
        <v>15531</v>
      </c>
      <c r="W14" s="232" t="s">
        <v>88</v>
      </c>
      <c r="X14" s="402" t="s">
        <v>88</v>
      </c>
      <c r="Y14" s="402">
        <v>313320</v>
      </c>
      <c r="Z14" s="402">
        <v>19000000</v>
      </c>
      <c r="AA14" s="402">
        <f t="shared" si="5"/>
        <v>19313320</v>
      </c>
      <c r="AB14" s="452">
        <v>265058.81</v>
      </c>
      <c r="AC14" s="453">
        <v>15266206</v>
      </c>
      <c r="AD14" s="453">
        <f t="shared" si="0"/>
        <v>15531264.810000001</v>
      </c>
      <c r="AE14" s="59">
        <f t="shared" si="6"/>
        <v>0.80417374174921763</v>
      </c>
      <c r="AF14" s="458" t="s">
        <v>88</v>
      </c>
    </row>
    <row r="15" spans="1:33" ht="18.75" x14ac:dyDescent="0.3">
      <c r="A15" s="237"/>
      <c r="B15" s="116" t="s">
        <v>328</v>
      </c>
      <c r="C15" s="6">
        <f>+S14</f>
        <v>19313</v>
      </c>
      <c r="D15" s="6">
        <f>+T14</f>
        <v>17692</v>
      </c>
      <c r="E15" s="205">
        <f>+D15/$D$13</f>
        <v>0.35749260923635057</v>
      </c>
      <c r="F15" s="6">
        <f>+V14</f>
        <v>15531</v>
      </c>
      <c r="G15" s="205">
        <f>+F15/D15</f>
        <v>0.87785439746778204</v>
      </c>
      <c r="H15" s="6">
        <f>+U14</f>
        <v>19965.986179625001</v>
      </c>
      <c r="I15" s="254">
        <f>+H15/F15-1</f>
        <v>0.28555702656783222</v>
      </c>
      <c r="J15" s="253">
        <v>14675</v>
      </c>
      <c r="K15" s="254">
        <v>1.1846141427187602</v>
      </c>
      <c r="L15"/>
      <c r="M15" s="231" t="s">
        <v>87</v>
      </c>
      <c r="N15" s="230">
        <v>17624595</v>
      </c>
      <c r="O15" s="231" t="s">
        <v>87</v>
      </c>
      <c r="P15" s="230">
        <v>17204354</v>
      </c>
      <c r="Q15" s="232" t="s">
        <v>87</v>
      </c>
      <c r="R15" s="374">
        <v>20018101.355374999</v>
      </c>
      <c r="S15" s="238">
        <f t="shared" si="1"/>
        <v>17625</v>
      </c>
      <c r="T15" s="387">
        <f t="shared" si="2"/>
        <v>17204</v>
      </c>
      <c r="U15" s="239">
        <f t="shared" si="3"/>
        <v>20018.101355374998</v>
      </c>
      <c r="V15" s="367">
        <f t="shared" si="4"/>
        <v>16090</v>
      </c>
      <c r="W15" s="232" t="s">
        <v>87</v>
      </c>
      <c r="X15" s="402" t="s">
        <v>87</v>
      </c>
      <c r="Y15" s="402">
        <v>432135</v>
      </c>
      <c r="Z15" s="402">
        <v>17192460</v>
      </c>
      <c r="AA15" s="402">
        <f t="shared" si="5"/>
        <v>17624595</v>
      </c>
      <c r="AB15" s="452">
        <v>190179.7</v>
      </c>
      <c r="AC15" s="453">
        <f>16089984-AB15</f>
        <v>15899804.300000001</v>
      </c>
      <c r="AD15" s="453">
        <f t="shared" si="0"/>
        <v>16089984</v>
      </c>
      <c r="AE15" s="59">
        <f t="shared" si="6"/>
        <v>0.91292787153406929</v>
      </c>
      <c r="AF15" s="458" t="s">
        <v>87</v>
      </c>
    </row>
    <row r="16" spans="1:33" ht="16.5" x14ac:dyDescent="0.25">
      <c r="B16" s="116" t="s">
        <v>12</v>
      </c>
      <c r="C16" s="6">
        <f>+S15</f>
        <v>17625</v>
      </c>
      <c r="D16" s="6">
        <f>+T15</f>
        <v>17204</v>
      </c>
      <c r="E16" s="205">
        <f>+D16/$D$13</f>
        <v>0.34763185899288801</v>
      </c>
      <c r="F16" s="6">
        <f>+V15</f>
        <v>16090</v>
      </c>
      <c r="G16" s="205">
        <f>+F16/D16</f>
        <v>0.9352476168332946</v>
      </c>
      <c r="H16" s="150">
        <f>+U15</f>
        <v>20018.101355374998</v>
      </c>
      <c r="I16" s="254">
        <f t="shared" ref="I16:I17" si="7">+H16/F16-1</f>
        <v>0.24413308610161577</v>
      </c>
      <c r="J16" s="255">
        <v>12875</v>
      </c>
      <c r="K16" s="254">
        <v>1.1492457377488172</v>
      </c>
      <c r="L16"/>
      <c r="M16" s="231" t="s">
        <v>321</v>
      </c>
      <c r="N16" s="230">
        <v>541220</v>
      </c>
      <c r="O16" s="231" t="s">
        <v>321</v>
      </c>
      <c r="P16" s="230">
        <v>452070</v>
      </c>
      <c r="Q16" s="232" t="s">
        <v>321</v>
      </c>
      <c r="R16" s="374">
        <v>458145.96037500002</v>
      </c>
      <c r="S16" s="238">
        <f t="shared" si="1"/>
        <v>541</v>
      </c>
      <c r="T16" s="389">
        <f t="shared" si="2"/>
        <v>452</v>
      </c>
      <c r="U16" s="239">
        <f t="shared" si="3"/>
        <v>458.14596037500002</v>
      </c>
      <c r="V16" s="367">
        <f t="shared" si="4"/>
        <v>323</v>
      </c>
      <c r="W16" s="232" t="s">
        <v>321</v>
      </c>
      <c r="X16" s="402" t="s">
        <v>321</v>
      </c>
      <c r="Y16" s="402">
        <v>224270</v>
      </c>
      <c r="Z16" s="402">
        <v>316950</v>
      </c>
      <c r="AA16" s="402">
        <f t="shared" si="5"/>
        <v>541220</v>
      </c>
      <c r="AB16" s="452">
        <v>148369.54</v>
      </c>
      <c r="AC16" s="453">
        <f>322800-AB16</f>
        <v>174430.46</v>
      </c>
      <c r="AD16" s="453">
        <f t="shared" si="0"/>
        <v>322800</v>
      </c>
      <c r="AE16" s="59">
        <f t="shared" si="6"/>
        <v>0.59643028712907875</v>
      </c>
      <c r="AF16" s="458" t="s">
        <v>321</v>
      </c>
      <c r="AG16" s="39"/>
    </row>
    <row r="17" spans="1:32" ht="16.5" x14ac:dyDescent="0.25">
      <c r="B17" s="116" t="s">
        <v>42</v>
      </c>
      <c r="C17" s="6">
        <f>+S10-N28/1000</f>
        <v>3578.84</v>
      </c>
      <c r="D17" s="6">
        <f>+T10-P28/1000</f>
        <v>3822</v>
      </c>
      <c r="E17" s="205">
        <f t="shared" ref="E17" si="8">+D17/$D$13</f>
        <v>7.7229072603511861E-2</v>
      </c>
      <c r="F17" s="6">
        <f>+V10</f>
        <v>2805</v>
      </c>
      <c r="G17" s="205">
        <f>+F17/D17</f>
        <v>0.73390894819466246</v>
      </c>
      <c r="H17" s="6">
        <f>+U10-R28/1000</f>
        <v>3941.1842801249995</v>
      </c>
      <c r="I17" s="254">
        <f t="shared" si="7"/>
        <v>0.40505678435828862</v>
      </c>
      <c r="J17" s="253">
        <v>2880</v>
      </c>
      <c r="K17" s="254">
        <v>2.1508588498879759</v>
      </c>
      <c r="L17"/>
      <c r="M17" s="231" t="s">
        <v>90</v>
      </c>
      <c r="N17" s="230">
        <v>1431395</v>
      </c>
      <c r="O17" s="231" t="s">
        <v>90</v>
      </c>
      <c r="P17" s="230">
        <v>811255</v>
      </c>
      <c r="Q17" s="232" t="s">
        <v>90</v>
      </c>
      <c r="R17" s="374">
        <v>811447.86699999997</v>
      </c>
      <c r="S17" s="238">
        <f t="shared" si="1"/>
        <v>1431</v>
      </c>
      <c r="T17" s="389">
        <f t="shared" si="2"/>
        <v>811</v>
      </c>
      <c r="U17" s="239">
        <f t="shared" si="3"/>
        <v>811.44786699999997</v>
      </c>
      <c r="V17" s="367">
        <f t="shared" si="4"/>
        <v>619</v>
      </c>
      <c r="W17" s="232" t="s">
        <v>90</v>
      </c>
      <c r="X17" s="402" t="s">
        <v>90</v>
      </c>
      <c r="Y17" s="402">
        <v>273910</v>
      </c>
      <c r="Z17" s="402">
        <v>1157485</v>
      </c>
      <c r="AA17" s="402">
        <f t="shared" si="5"/>
        <v>1431395</v>
      </c>
      <c r="AB17" s="452">
        <v>165495.22999999998</v>
      </c>
      <c r="AC17" s="453">
        <f>618629-AB17</f>
        <v>453133.77</v>
      </c>
      <c r="AD17" s="453">
        <f t="shared" si="0"/>
        <v>618629</v>
      </c>
      <c r="AE17" s="59">
        <f t="shared" si="6"/>
        <v>0.43218608420456966</v>
      </c>
      <c r="AF17" s="458" t="s">
        <v>90</v>
      </c>
    </row>
    <row r="18" spans="1:32" ht="16.5" x14ac:dyDescent="0.25">
      <c r="B18" s="128" t="s">
        <v>13</v>
      </c>
      <c r="C18" s="30">
        <f>SUM(C15:C17)</f>
        <v>40516.839999999997</v>
      </c>
      <c r="D18" s="30">
        <f>SUM(D15:D17)</f>
        <v>38718</v>
      </c>
      <c r="E18" s="151">
        <f>D18/D13</f>
        <v>0.78235354083275044</v>
      </c>
      <c r="F18" s="30">
        <f>SUM(F15:F17)</f>
        <v>34426</v>
      </c>
      <c r="G18" s="31">
        <f>F18/D18</f>
        <v>0.88914716669249449</v>
      </c>
      <c r="H18" s="30">
        <f>SUM(H15:H17)</f>
        <v>43925.271815125001</v>
      </c>
      <c r="I18" s="120">
        <f>+H18/F18-1</f>
        <v>0.27593306846932553</v>
      </c>
      <c r="J18" s="253">
        <v>2090</v>
      </c>
      <c r="K18" s="254">
        <v>1.1559734513274336</v>
      </c>
      <c r="L18"/>
      <c r="M18" s="231" t="s">
        <v>315</v>
      </c>
      <c r="N18" s="230">
        <v>2475575</v>
      </c>
      <c r="O18" s="231" t="s">
        <v>315</v>
      </c>
      <c r="P18" s="230">
        <v>2514185</v>
      </c>
      <c r="Q18" s="232" t="s">
        <v>315</v>
      </c>
      <c r="R18" s="374">
        <v>2644036.9063749998</v>
      </c>
      <c r="S18" s="238">
        <f t="shared" si="1"/>
        <v>2476</v>
      </c>
      <c r="T18" s="388">
        <f t="shared" si="2"/>
        <v>2514</v>
      </c>
      <c r="U18" s="239">
        <f t="shared" si="3"/>
        <v>2644.0369063749999</v>
      </c>
      <c r="V18" s="367">
        <f>ROUND(+AD18/1000,0)</f>
        <v>564</v>
      </c>
      <c r="W18" s="232" t="s">
        <v>315</v>
      </c>
      <c r="X18" s="402" t="s">
        <v>315</v>
      </c>
      <c r="Y18" s="402">
        <f>2190320-P32-120000-67500</f>
        <v>142455</v>
      </c>
      <c r="Z18" s="402">
        <f>285255+P32+120000+67500</f>
        <v>2333120</v>
      </c>
      <c r="AA18" s="402">
        <f t="shared" si="5"/>
        <v>2475575</v>
      </c>
      <c r="AB18" s="452">
        <v>150612.79999999999</v>
      </c>
      <c r="AC18" s="453">
        <f>563945-AB18</f>
        <v>413332.2</v>
      </c>
      <c r="AD18" s="453">
        <f t="shared" si="0"/>
        <v>563945</v>
      </c>
      <c r="AE18" s="59">
        <f t="shared" si="6"/>
        <v>0.2278036415782192</v>
      </c>
      <c r="AF18" s="458" t="s">
        <v>315</v>
      </c>
    </row>
    <row r="19" spans="1:32" ht="16.5" x14ac:dyDescent="0.25">
      <c r="B19" s="116" t="s">
        <v>14</v>
      </c>
      <c r="C19" s="21"/>
      <c r="D19" s="21"/>
      <c r="E19" s="64"/>
      <c r="F19" s="21"/>
      <c r="G19" s="2"/>
      <c r="H19" s="21"/>
      <c r="I19" s="130"/>
      <c r="J19" s="256">
        <v>32520</v>
      </c>
      <c r="K19" s="120">
        <v>1.2529860522462819</v>
      </c>
      <c r="L19"/>
      <c r="M19" s="231" t="s">
        <v>316</v>
      </c>
      <c r="N19" s="230">
        <v>931635</v>
      </c>
      <c r="O19" s="231" t="s">
        <v>316</v>
      </c>
      <c r="P19" s="230">
        <f>913800</f>
        <v>913800</v>
      </c>
      <c r="Q19" s="232" t="s">
        <v>316</v>
      </c>
      <c r="R19" s="374">
        <v>775820.73300000001</v>
      </c>
      <c r="S19" s="238">
        <f t="shared" si="1"/>
        <v>932</v>
      </c>
      <c r="T19" s="388">
        <f t="shared" si="2"/>
        <v>914</v>
      </c>
      <c r="U19" s="239">
        <f t="shared" si="3"/>
        <v>775.82073300000002</v>
      </c>
      <c r="V19" s="367">
        <f t="shared" si="4"/>
        <v>877</v>
      </c>
      <c r="W19" s="232" t="s">
        <v>316</v>
      </c>
      <c r="X19" s="402" t="s">
        <v>316</v>
      </c>
      <c r="Y19" s="402">
        <v>183775</v>
      </c>
      <c r="Z19" s="402">
        <v>747860</v>
      </c>
      <c r="AA19" s="402">
        <f t="shared" si="5"/>
        <v>931635</v>
      </c>
      <c r="AB19" s="452">
        <v>120939.04000000001</v>
      </c>
      <c r="AC19" s="453">
        <v>756373</v>
      </c>
      <c r="AD19" s="453">
        <f t="shared" si="0"/>
        <v>877312.04</v>
      </c>
      <c r="AE19" s="59">
        <f t="shared" si="6"/>
        <v>0.94169072651843266</v>
      </c>
      <c r="AF19" s="458" t="s">
        <v>316</v>
      </c>
    </row>
    <row r="20" spans="1:32" ht="18" customHeight="1" x14ac:dyDescent="0.25">
      <c r="B20" s="116" t="s">
        <v>15</v>
      </c>
      <c r="C20" s="6">
        <f>+S17</f>
        <v>1431</v>
      </c>
      <c r="D20" s="6">
        <f>+T17</f>
        <v>811</v>
      </c>
      <c r="E20" s="205">
        <f t="shared" ref="E20:E21" si="9">+D20/$D$13</f>
        <v>1.6387435343131376E-2</v>
      </c>
      <c r="F20" s="6">
        <f>+V17</f>
        <v>619</v>
      </c>
      <c r="G20" s="205">
        <f>F20/D20</f>
        <v>0.76325524044389648</v>
      </c>
      <c r="H20" s="6">
        <f>+U17</f>
        <v>811.44786699999997</v>
      </c>
      <c r="I20" s="254">
        <f>+H20/F20-1</f>
        <v>0.31090123909531497</v>
      </c>
      <c r="J20" s="252"/>
      <c r="K20" s="130"/>
      <c r="L20"/>
      <c r="M20" s="231" t="s">
        <v>222</v>
      </c>
      <c r="N20" s="230">
        <v>204820</v>
      </c>
      <c r="O20" s="231" t="s">
        <v>222</v>
      </c>
      <c r="P20" s="230">
        <v>204820</v>
      </c>
      <c r="Q20" s="232" t="s">
        <v>222</v>
      </c>
      <c r="R20" s="374">
        <v>240826.66087499994</v>
      </c>
      <c r="S20" s="238">
        <f t="shared" si="1"/>
        <v>205</v>
      </c>
      <c r="T20" s="388">
        <f t="shared" si="2"/>
        <v>205</v>
      </c>
      <c r="U20" s="239">
        <f t="shared" si="3"/>
        <v>240.82666087499993</v>
      </c>
      <c r="V20" s="367">
        <f t="shared" si="4"/>
        <v>169</v>
      </c>
      <c r="W20" s="232" t="s">
        <v>222</v>
      </c>
      <c r="X20" s="402" t="s">
        <v>222</v>
      </c>
      <c r="Y20" s="402">
        <v>204820</v>
      </c>
      <c r="Z20" s="402"/>
      <c r="AA20" s="402">
        <f t="shared" si="5"/>
        <v>204820</v>
      </c>
      <c r="AB20" s="452">
        <v>168552.57</v>
      </c>
      <c r="AC20" s="453"/>
      <c r="AD20" s="453">
        <f t="shared" si="0"/>
        <v>168552.57</v>
      </c>
      <c r="AE20" s="59">
        <f t="shared" si="6"/>
        <v>0.82293023142271271</v>
      </c>
      <c r="AF20" s="458" t="s">
        <v>222</v>
      </c>
    </row>
    <row r="21" spans="1:32" ht="16.5" x14ac:dyDescent="0.25">
      <c r="A21" s="236"/>
      <c r="B21" s="116" t="s">
        <v>16</v>
      </c>
      <c r="C21" s="6">
        <f>+S16</f>
        <v>541</v>
      </c>
      <c r="D21" s="6">
        <f>+T16</f>
        <v>452</v>
      </c>
      <c r="E21" s="205">
        <f t="shared" si="9"/>
        <v>9.133317848452999E-3</v>
      </c>
      <c r="F21" s="6">
        <f>+V16</f>
        <v>323</v>
      </c>
      <c r="G21" s="205">
        <f>F21/D21</f>
        <v>0.71460176991150437</v>
      </c>
      <c r="H21" s="6">
        <f>+U16</f>
        <v>458.14596037500002</v>
      </c>
      <c r="I21" s="254">
        <f>+H21/F21-1</f>
        <v>0.41840854605263167</v>
      </c>
      <c r="J21" s="253">
        <v>1550</v>
      </c>
      <c r="K21" s="254">
        <v>1.4540337711069418</v>
      </c>
      <c r="L21"/>
      <c r="M21" s="372" t="s">
        <v>398</v>
      </c>
      <c r="N21" s="230">
        <v>146810</v>
      </c>
      <c r="O21" s="372" t="s">
        <v>398</v>
      </c>
      <c r="P21" s="230">
        <v>91815</v>
      </c>
      <c r="Q21" s="372" t="s">
        <v>398</v>
      </c>
      <c r="R21" s="374">
        <v>121982.45975000001</v>
      </c>
      <c r="S21" s="238">
        <f t="shared" si="1"/>
        <v>147</v>
      </c>
      <c r="T21" s="389">
        <f t="shared" si="2"/>
        <v>92</v>
      </c>
      <c r="U21" s="239">
        <f t="shared" si="3"/>
        <v>121.98245975</v>
      </c>
      <c r="V21" s="367">
        <f t="shared" si="4"/>
        <v>77</v>
      </c>
      <c r="W21" s="372" t="s">
        <v>398</v>
      </c>
      <c r="X21" s="403" t="s">
        <v>398</v>
      </c>
      <c r="Y21" s="403">
        <v>91815</v>
      </c>
      <c r="Z21" s="403">
        <v>54995</v>
      </c>
      <c r="AA21" s="402">
        <f t="shared" si="5"/>
        <v>146810</v>
      </c>
      <c r="AB21" s="452">
        <v>76570.290000000008</v>
      </c>
      <c r="AC21" s="453"/>
      <c r="AD21" s="453">
        <f t="shared" si="0"/>
        <v>76570.290000000008</v>
      </c>
      <c r="AE21" s="59">
        <f t="shared" si="6"/>
        <v>0.52156045228526671</v>
      </c>
      <c r="AF21" s="458" t="s">
        <v>398</v>
      </c>
    </row>
    <row r="22" spans="1:32" ht="16.5" x14ac:dyDescent="0.25">
      <c r="B22" s="116" t="s">
        <v>83</v>
      </c>
      <c r="C22" s="6">
        <f>+S23</f>
        <v>177</v>
      </c>
      <c r="D22" s="6">
        <f>+T23</f>
        <v>179</v>
      </c>
      <c r="E22" s="205">
        <f>+D22/$D$13</f>
        <v>3.6169555196307228E-3</v>
      </c>
      <c r="F22" s="6">
        <f>+V23</f>
        <v>135</v>
      </c>
      <c r="G22" s="205">
        <f>F22/D22</f>
        <v>0.75418994413407825</v>
      </c>
      <c r="H22" s="150">
        <f>+U23</f>
        <v>217.395020625</v>
      </c>
      <c r="I22" s="254">
        <f>+H22/F22-1</f>
        <v>0.61033348611111116</v>
      </c>
      <c r="J22" s="253">
        <v>535</v>
      </c>
      <c r="K22" s="254">
        <v>1.2131519274376417</v>
      </c>
      <c r="L22"/>
      <c r="M22" s="372" t="s">
        <v>317</v>
      </c>
      <c r="N22" s="371">
        <v>1016425</v>
      </c>
      <c r="O22" s="372" t="s">
        <v>317</v>
      </c>
      <c r="P22" s="371">
        <v>1033475</v>
      </c>
      <c r="Q22" s="373" t="s">
        <v>317</v>
      </c>
      <c r="R22" s="374">
        <v>1170213.4807500001</v>
      </c>
      <c r="S22" s="238">
        <f t="shared" si="1"/>
        <v>1016</v>
      </c>
      <c r="T22" s="388">
        <f t="shared" si="2"/>
        <v>1033</v>
      </c>
      <c r="U22" s="239">
        <f t="shared" si="3"/>
        <v>1170.2134807500001</v>
      </c>
      <c r="V22" s="367">
        <f t="shared" si="4"/>
        <v>1038</v>
      </c>
      <c r="W22" s="373" t="s">
        <v>317</v>
      </c>
      <c r="X22" s="403" t="s">
        <v>317</v>
      </c>
      <c r="Y22" s="403">
        <v>284185</v>
      </c>
      <c r="Z22" s="403">
        <v>732240</v>
      </c>
      <c r="AA22" s="402">
        <f t="shared" si="5"/>
        <v>1016425</v>
      </c>
      <c r="AB22" s="453">
        <v>262630.26</v>
      </c>
      <c r="AC22" s="453">
        <v>775280</v>
      </c>
      <c r="AD22" s="453">
        <f t="shared" si="0"/>
        <v>1037910.26</v>
      </c>
      <c r="AE22" s="59">
        <f t="shared" si="6"/>
        <v>1.0211380672454928</v>
      </c>
      <c r="AF22" s="458" t="s">
        <v>317</v>
      </c>
    </row>
    <row r="23" spans="1:32" ht="16.5" x14ac:dyDescent="0.25">
      <c r="B23" s="116" t="s">
        <v>426</v>
      </c>
      <c r="C23" s="6">
        <f>+S21</f>
        <v>147</v>
      </c>
      <c r="D23" s="6">
        <f>+T21</f>
        <v>92</v>
      </c>
      <c r="E23" s="205">
        <f>+D23/$D$13</f>
        <v>1.8589938983576899E-3</v>
      </c>
      <c r="F23" s="6">
        <f>+V21</f>
        <v>77</v>
      </c>
      <c r="G23" s="205">
        <f>F23/D23</f>
        <v>0.83695652173913049</v>
      </c>
      <c r="H23" s="150">
        <f>+U21</f>
        <v>121.98245975</v>
      </c>
      <c r="I23" s="254">
        <f>+H23/F23-1</f>
        <v>0.58418778896103896</v>
      </c>
      <c r="J23" s="255">
        <v>420</v>
      </c>
      <c r="K23" s="254">
        <v>1</v>
      </c>
      <c r="L23"/>
      <c r="M23" s="372" t="s">
        <v>318</v>
      </c>
      <c r="N23" s="371">
        <v>176785</v>
      </c>
      <c r="O23" s="372" t="s">
        <v>318</v>
      </c>
      <c r="P23" s="371">
        <v>178620</v>
      </c>
      <c r="Q23" s="373" t="s">
        <v>318</v>
      </c>
      <c r="R23" s="374">
        <v>217395.020625</v>
      </c>
      <c r="S23" s="238">
        <f t="shared" si="1"/>
        <v>177</v>
      </c>
      <c r="T23" s="389">
        <f t="shared" si="2"/>
        <v>179</v>
      </c>
      <c r="U23" s="239">
        <f t="shared" si="3"/>
        <v>217.395020625</v>
      </c>
      <c r="V23" s="367">
        <f t="shared" si="4"/>
        <v>135</v>
      </c>
      <c r="W23" s="373" t="s">
        <v>318</v>
      </c>
      <c r="X23" s="403" t="s">
        <v>318</v>
      </c>
      <c r="Y23" s="403">
        <v>164950</v>
      </c>
      <c r="Z23" s="403">
        <v>11835</v>
      </c>
      <c r="AA23" s="402">
        <f t="shared" si="5"/>
        <v>176785</v>
      </c>
      <c r="AB23" s="452">
        <v>134709.1</v>
      </c>
      <c r="AC23" s="453"/>
      <c r="AD23" s="453">
        <f t="shared" si="0"/>
        <v>134709.1</v>
      </c>
      <c r="AE23" s="59">
        <f t="shared" si="6"/>
        <v>0.76199394745029281</v>
      </c>
      <c r="AF23" s="458" t="s">
        <v>318</v>
      </c>
    </row>
    <row r="24" spans="1:32" ht="16.5" x14ac:dyDescent="0.25">
      <c r="B24" s="128" t="s">
        <v>17</v>
      </c>
      <c r="C24" s="30">
        <f>+C22+C21+C20+C23</f>
        <v>2296</v>
      </c>
      <c r="D24" s="30">
        <f>+D22+D21+D20+D23</f>
        <v>1534</v>
      </c>
      <c r="E24" s="153">
        <f>D24/D13</f>
        <v>3.0996702609572786E-2</v>
      </c>
      <c r="F24" s="30">
        <f>+F21+F20+F22+F23</f>
        <v>1154</v>
      </c>
      <c r="G24" s="31">
        <f>F24/D24</f>
        <v>0.75228161668839633</v>
      </c>
      <c r="H24" s="202">
        <f>+H21+H20+H22+H23</f>
        <v>1608.9713077500001</v>
      </c>
      <c r="I24" s="120">
        <f>+H24/F24-1</f>
        <v>0.39425589926343152</v>
      </c>
      <c r="J24" s="255"/>
      <c r="K24" s="254"/>
      <c r="L24"/>
      <c r="M24" s="372" t="s">
        <v>319</v>
      </c>
      <c r="N24" s="371">
        <v>277575</v>
      </c>
      <c r="O24" s="372" t="s">
        <v>319</v>
      </c>
      <c r="P24" s="371">
        <v>275950</v>
      </c>
      <c r="Q24" s="373" t="s">
        <v>319</v>
      </c>
      <c r="R24" s="374">
        <v>175110.641</v>
      </c>
      <c r="S24" s="238">
        <f t="shared" si="1"/>
        <v>278</v>
      </c>
      <c r="T24" s="388">
        <f t="shared" si="2"/>
        <v>276</v>
      </c>
      <c r="U24" s="239">
        <f t="shared" si="3"/>
        <v>175.11064100000002</v>
      </c>
      <c r="V24" s="367">
        <f t="shared" si="4"/>
        <v>243</v>
      </c>
      <c r="W24" s="373" t="s">
        <v>319</v>
      </c>
      <c r="X24" s="403" t="s">
        <v>319</v>
      </c>
      <c r="Y24" s="403">
        <v>119215</v>
      </c>
      <c r="Z24" s="403">
        <v>158360</v>
      </c>
      <c r="AA24" s="402">
        <f t="shared" si="5"/>
        <v>277575</v>
      </c>
      <c r="AB24" s="452">
        <v>61187.31</v>
      </c>
      <c r="AC24" s="453">
        <v>181545</v>
      </c>
      <c r="AD24" s="453">
        <f t="shared" si="0"/>
        <v>242732.31</v>
      </c>
      <c r="AE24" s="59">
        <f t="shared" si="6"/>
        <v>0.87447468251823834</v>
      </c>
      <c r="AF24" s="458" t="s">
        <v>319</v>
      </c>
    </row>
    <row r="25" spans="1:32" ht="17.25" thickBot="1" x14ac:dyDescent="0.3">
      <c r="B25" s="116" t="s">
        <v>18</v>
      </c>
      <c r="C25" s="21"/>
      <c r="D25" s="21"/>
      <c r="E25" s="64"/>
      <c r="F25" s="21"/>
      <c r="G25" s="21"/>
      <c r="H25" s="21"/>
      <c r="I25" s="130"/>
      <c r="J25" s="257">
        <v>2505</v>
      </c>
      <c r="K25" s="120">
        <v>1.6622428666224287</v>
      </c>
      <c r="L25"/>
      <c r="M25" s="372" t="s">
        <v>320</v>
      </c>
      <c r="N25" s="371">
        <v>906360</v>
      </c>
      <c r="O25" s="372" t="s">
        <v>320</v>
      </c>
      <c r="P25" s="371">
        <v>892630</v>
      </c>
      <c r="Q25" s="373" t="s">
        <v>320</v>
      </c>
      <c r="R25" s="374">
        <v>763712.61187499994</v>
      </c>
      <c r="S25" s="238">
        <f t="shared" si="1"/>
        <v>906</v>
      </c>
      <c r="T25" s="388">
        <f t="shared" si="2"/>
        <v>893</v>
      </c>
      <c r="U25" s="239">
        <f t="shared" si="3"/>
        <v>763.71261187499999</v>
      </c>
      <c r="V25" s="367">
        <f t="shared" si="4"/>
        <v>481</v>
      </c>
      <c r="W25" s="373" t="s">
        <v>320</v>
      </c>
      <c r="X25" s="403" t="s">
        <v>320</v>
      </c>
      <c r="Y25" s="403">
        <v>215630</v>
      </c>
      <c r="Z25" s="403">
        <v>690730</v>
      </c>
      <c r="AA25" s="402">
        <f t="shared" si="5"/>
        <v>906360</v>
      </c>
      <c r="AB25" s="452">
        <v>133236.40000000002</v>
      </c>
      <c r="AC25" s="453">
        <v>347757</v>
      </c>
      <c r="AD25" s="453">
        <f t="shared" si="0"/>
        <v>480993.4</v>
      </c>
      <c r="AE25" s="59">
        <f t="shared" si="6"/>
        <v>0.53068692351824887</v>
      </c>
      <c r="AF25" s="458" t="s">
        <v>320</v>
      </c>
    </row>
    <row r="26" spans="1:32" ht="16.899999999999999" customHeight="1" thickBot="1" x14ac:dyDescent="0.3">
      <c r="B26" s="116" t="s">
        <v>19</v>
      </c>
      <c r="C26" s="12">
        <f>+S7+S8+S9+S11+S12+S13+S18+S19+S20+S22+S24+S25-(N29/1000)-(N32/1000)+105.5</f>
        <v>5488.0349999999999</v>
      </c>
      <c r="D26" s="12">
        <f>+T7+T8+T9+T11+T12+T13+T18+T19+T20+T22+T24+T25-P32/1000-P29/1000+105.5</f>
        <v>5737.1350000000002</v>
      </c>
      <c r="E26" s="205">
        <f t="shared" ref="E26" si="10">+D26/$D$13</f>
        <v>0.1159271625984168</v>
      </c>
      <c r="F26" s="12">
        <f>+V7+V8+V9+V11+V12+V13+V18+V19+V20+V22+V24+V25</f>
        <v>4670</v>
      </c>
      <c r="G26" s="205">
        <f>F26/D26</f>
        <v>0.81399513868856144</v>
      </c>
      <c r="H26" s="12">
        <f>+U7+U8+U9+U11+U12+U13+U18+U19+U20+U22+U24+U25-R29/1000</f>
        <v>7607.2426207500021</v>
      </c>
      <c r="I26" s="254">
        <f>+H26/F26-1</f>
        <v>0.62895987596359793</v>
      </c>
      <c r="J26" s="252"/>
      <c r="K26" s="130"/>
      <c r="L26"/>
      <c r="M26" s="227"/>
      <c r="N26" s="233"/>
      <c r="O26" s="233"/>
      <c r="P26" s="233"/>
      <c r="Q26" s="233"/>
      <c r="R26" s="233"/>
      <c r="S26" s="227"/>
      <c r="T26" s="229"/>
      <c r="U26" s="386"/>
      <c r="V26" s="386">
        <f>SUM(V7:V25)</f>
        <v>40250</v>
      </c>
      <c r="W26" s="272"/>
      <c r="X26" s="434" t="s">
        <v>45</v>
      </c>
      <c r="Y26" s="435">
        <f>SUM(Y7:Y25)</f>
        <v>4173470</v>
      </c>
      <c r="Z26" s="435">
        <f t="shared" ref="Z26:AD26" si="11">SUM(Z7:Z25)</f>
        <v>48375850</v>
      </c>
      <c r="AA26" s="435">
        <f t="shared" si="11"/>
        <v>52549320</v>
      </c>
      <c r="AB26" s="435">
        <f t="shared" si="11"/>
        <v>3027954.2500000005</v>
      </c>
      <c r="AC26" s="435">
        <f t="shared" si="11"/>
        <v>37220274.850000009</v>
      </c>
      <c r="AD26" s="435">
        <f t="shared" si="11"/>
        <v>40248229.099999994</v>
      </c>
      <c r="AE26" s="436">
        <f t="shared" si="6"/>
        <v>0.76591341429346749</v>
      </c>
    </row>
    <row r="27" spans="1:32" ht="18.75" x14ac:dyDescent="0.3">
      <c r="B27" s="128" t="s">
        <v>20</v>
      </c>
      <c r="C27" s="30">
        <f>+C26</f>
        <v>5488.0349999999999</v>
      </c>
      <c r="D27" s="30">
        <f>+D26</f>
        <v>5737.1350000000002</v>
      </c>
      <c r="E27" s="120">
        <f>D27/D13</f>
        <v>0.1159271625984168</v>
      </c>
      <c r="F27" s="30">
        <f>+F26</f>
        <v>4670</v>
      </c>
      <c r="G27" s="31">
        <f>F27/D27</f>
        <v>0.81399513868856144</v>
      </c>
      <c r="H27" s="30">
        <f>+H26</f>
        <v>7607.2426207500021</v>
      </c>
      <c r="I27" s="120">
        <f>+H27/F27-1</f>
        <v>0.62895987596359793</v>
      </c>
      <c r="J27" s="258">
        <v>5980</v>
      </c>
      <c r="K27" s="254">
        <v>1.7164179104477613</v>
      </c>
      <c r="L27"/>
      <c r="M27" s="429" t="s">
        <v>430</v>
      </c>
      <c r="N27" s="454">
        <f>+M6</f>
        <v>2020</v>
      </c>
      <c r="O27" s="455"/>
      <c r="P27" s="454">
        <f>+O6</f>
        <v>2021</v>
      </c>
      <c r="Q27" s="455"/>
      <c r="R27" s="454">
        <f>+Q6</f>
        <v>2022</v>
      </c>
      <c r="Z27" s="398"/>
      <c r="AA27" s="398"/>
    </row>
    <row r="28" spans="1:32" ht="16.899999999999999" customHeight="1" thickBot="1" x14ac:dyDescent="0.3">
      <c r="B28" s="137" t="s">
        <v>322</v>
      </c>
      <c r="C28" s="282">
        <v>2518</v>
      </c>
      <c r="D28" s="282">
        <f>+P30/1000</f>
        <v>3500</v>
      </c>
      <c r="E28" s="260">
        <f>+D28/D13</f>
        <v>7.072259395925995E-2</v>
      </c>
      <c r="F28" s="282">
        <v>0</v>
      </c>
      <c r="G28" s="260">
        <v>0</v>
      </c>
      <c r="H28" s="282">
        <f>+R30/1000</f>
        <v>3900</v>
      </c>
      <c r="I28" s="120">
        <f>+H28/H13</f>
        <v>6.8371290634481177E-2</v>
      </c>
      <c r="J28" s="256">
        <v>5980</v>
      </c>
      <c r="K28" s="120">
        <v>1.7164179104477613</v>
      </c>
      <c r="L28"/>
      <c r="M28" s="431" t="s">
        <v>305</v>
      </c>
      <c r="N28" s="403">
        <v>2244160</v>
      </c>
      <c r="O28" s="431" t="s">
        <v>305</v>
      </c>
      <c r="P28" s="403">
        <v>3400000</v>
      </c>
      <c r="Q28" s="431" t="s">
        <v>305</v>
      </c>
      <c r="R28" s="403">
        <f>3400000+500000</f>
        <v>3900000</v>
      </c>
      <c r="S28" s="57"/>
      <c r="AC28" s="426"/>
    </row>
    <row r="29" spans="1:32" ht="17.25" thickBot="1" x14ac:dyDescent="0.3">
      <c r="B29" s="20"/>
      <c r="C29" s="70"/>
      <c r="D29" s="70"/>
      <c r="E29" s="20"/>
      <c r="F29" s="20"/>
      <c r="G29" s="20"/>
      <c r="H29" s="20"/>
      <c r="I29" s="20"/>
      <c r="J29" s="259">
        <v>2435</v>
      </c>
      <c r="K29" s="260">
        <v>1</v>
      </c>
      <c r="L29"/>
      <c r="M29" s="430" t="s">
        <v>431</v>
      </c>
      <c r="N29" s="403">
        <v>274160</v>
      </c>
      <c r="O29" s="430" t="s">
        <v>431</v>
      </c>
      <c r="P29" s="403">
        <v>100000</v>
      </c>
      <c r="Q29" s="430" t="s">
        <v>431</v>
      </c>
      <c r="R29" s="403"/>
      <c r="AC29" s="446"/>
    </row>
    <row r="30" spans="1:32" ht="14.45" customHeight="1" x14ac:dyDescent="0.3">
      <c r="B30" s="20"/>
      <c r="C30" s="70"/>
      <c r="D30" s="70"/>
      <c r="E30" s="20"/>
      <c r="F30" s="20"/>
      <c r="G30" s="20" t="s">
        <v>442</v>
      </c>
      <c r="H30" s="460">
        <f>+H26/H13</f>
        <v>0.13336333234623352</v>
      </c>
      <c r="I30" s="20"/>
      <c r="J30" s="20"/>
      <c r="K30" s="20"/>
      <c r="L30" s="66"/>
      <c r="M30" s="431" t="s">
        <v>41</v>
      </c>
      <c r="N30" s="431">
        <f>+N29+N28</f>
        <v>2518320</v>
      </c>
      <c r="O30" s="431" t="s">
        <v>41</v>
      </c>
      <c r="P30" s="431">
        <f>+P29+P28</f>
        <v>3500000</v>
      </c>
      <c r="Q30" s="431" t="s">
        <v>41</v>
      </c>
      <c r="R30" s="431">
        <f>+R29+R28</f>
        <v>3900000</v>
      </c>
    </row>
    <row r="31" spans="1:32" ht="14.45" customHeight="1" x14ac:dyDescent="0.3">
      <c r="B31" s="20"/>
      <c r="C31" s="70"/>
      <c r="D31" s="70"/>
      <c r="E31" s="20"/>
      <c r="F31" s="20"/>
      <c r="G31" s="20" t="s">
        <v>443</v>
      </c>
      <c r="H31" s="460">
        <f>+H26/H9</f>
        <v>0.18014261812380122</v>
      </c>
      <c r="I31" s="20"/>
      <c r="J31" s="20"/>
      <c r="K31" s="20"/>
      <c r="L31" s="66"/>
      <c r="M31" s="432"/>
      <c r="N31" s="432"/>
      <c r="O31" s="432"/>
      <c r="P31" s="432"/>
      <c r="Q31" s="432"/>
      <c r="R31" s="432"/>
    </row>
    <row r="32" spans="1:32" ht="14.45" customHeight="1" x14ac:dyDescent="0.25">
      <c r="B32" s="20"/>
      <c r="C32" s="70"/>
      <c r="D32" s="70"/>
      <c r="E32" s="20"/>
      <c r="F32" s="20"/>
      <c r="G32" s="20"/>
      <c r="H32" s="347"/>
      <c r="I32" s="20"/>
      <c r="J32" s="20"/>
      <c r="K32" s="20"/>
      <c r="L32" s="66"/>
      <c r="M32" s="431" t="s">
        <v>432</v>
      </c>
      <c r="N32" s="433">
        <v>1835305</v>
      </c>
      <c r="O32" s="431" t="s">
        <v>432</v>
      </c>
      <c r="P32" s="433">
        <v>1860365</v>
      </c>
      <c r="Q32" s="431" t="s">
        <v>432</v>
      </c>
      <c r="R32" s="433">
        <v>1985629</v>
      </c>
    </row>
    <row r="33" spans="2:18" ht="14.45" customHeight="1" x14ac:dyDescent="0.25">
      <c r="B33" s="20"/>
      <c r="C33" s="70"/>
      <c r="D33" s="70"/>
      <c r="E33" s="20"/>
      <c r="F33" s="20"/>
      <c r="G33" s="20"/>
      <c r="H33" s="38"/>
      <c r="I33" s="20"/>
      <c r="J33" s="20"/>
      <c r="K33" s="20"/>
      <c r="L33" s="66"/>
    </row>
    <row r="34" spans="2:18" ht="22.5" x14ac:dyDescent="0.3">
      <c r="B34" s="160"/>
      <c r="C34" s="174"/>
      <c r="D34" s="38"/>
      <c r="H34" s="36"/>
      <c r="J34" s="20"/>
      <c r="K34" s="20"/>
      <c r="L34" s="66"/>
      <c r="M34" s="456" t="s">
        <v>433</v>
      </c>
      <c r="N34" s="456">
        <f>+N5-N32+105500</f>
        <v>50819515</v>
      </c>
      <c r="O34" s="457"/>
      <c r="P34" s="456">
        <f>+P5-P32+105500</f>
        <v>49489974</v>
      </c>
      <c r="Q34" s="457"/>
      <c r="R34" s="456">
        <f>+R5-R32+105500</f>
        <v>55161356.743625008</v>
      </c>
    </row>
    <row r="35" spans="2:18" x14ac:dyDescent="0.25">
      <c r="B35" t="s">
        <v>294</v>
      </c>
      <c r="C35" s="36"/>
      <c r="D35" s="38"/>
      <c r="H35" s="20"/>
      <c r="M35" s="38"/>
      <c r="N35" s="38"/>
      <c r="P35" s="36"/>
      <c r="Q35" s="36"/>
      <c r="R35" s="36"/>
    </row>
    <row r="36" spans="2:18" ht="15" hidden="1" customHeight="1" x14ac:dyDescent="0.25">
      <c r="B36" s="176" t="s">
        <v>283</v>
      </c>
      <c r="C36" s="176" t="s">
        <v>280</v>
      </c>
      <c r="D36" s="177" t="s">
        <v>285</v>
      </c>
      <c r="E36" t="s">
        <v>89</v>
      </c>
      <c r="G36" s="177"/>
      <c r="H36" s="187"/>
      <c r="I36" s="177"/>
      <c r="M36" s="38"/>
      <c r="N36" s="38"/>
      <c r="P36" s="36"/>
      <c r="Q36" s="36"/>
      <c r="R36" s="36"/>
    </row>
    <row r="37" spans="2:18" ht="15.75" hidden="1" customHeight="1" thickBot="1" x14ac:dyDescent="0.35">
      <c r="B37" s="161" t="s">
        <v>282</v>
      </c>
      <c r="C37" s="172"/>
      <c r="D37" s="181"/>
      <c r="E37" s="181"/>
      <c r="G37" s="175"/>
      <c r="H37" s="175"/>
      <c r="I37" s="175"/>
      <c r="J37" s="177"/>
      <c r="K37" s="177"/>
      <c r="L37" s="177"/>
      <c r="M37" s="38"/>
      <c r="N37" s="38"/>
      <c r="P37" s="36"/>
      <c r="Q37" s="36"/>
      <c r="R37" s="36"/>
    </row>
    <row r="38" spans="2:18" ht="20.25" hidden="1" customHeight="1" thickBot="1" x14ac:dyDescent="0.3">
      <c r="B38" s="179" t="s">
        <v>88</v>
      </c>
      <c r="C38" s="180">
        <v>13587105</v>
      </c>
      <c r="D38" s="182"/>
      <c r="E38" s="189"/>
      <c r="G38" s="181"/>
      <c r="H38" s="217"/>
      <c r="I38" s="181"/>
      <c r="J38" s="175"/>
      <c r="K38" s="175"/>
      <c r="L38" s="38"/>
      <c r="M38" s="38"/>
      <c r="N38" s="38"/>
      <c r="P38" s="36"/>
      <c r="Q38" s="36"/>
      <c r="R38" s="36"/>
    </row>
    <row r="39" spans="2:18" ht="15" hidden="1" customHeight="1" x14ac:dyDescent="0.25">
      <c r="B39" s="171" t="s">
        <v>42</v>
      </c>
      <c r="C39" s="184">
        <f>1347280*0.56</f>
        <v>754476.8</v>
      </c>
      <c r="D39" s="184"/>
      <c r="E39" s="190"/>
      <c r="G39" s="182"/>
      <c r="H39" s="217"/>
      <c r="I39" s="182"/>
      <c r="J39" s="181"/>
      <c r="K39" s="181"/>
      <c r="L39" s="180"/>
      <c r="M39" s="38"/>
      <c r="N39" s="38"/>
      <c r="P39" s="36"/>
      <c r="Q39" s="36"/>
      <c r="R39" s="36"/>
    </row>
    <row r="40" spans="2:18" hidden="1" x14ac:dyDescent="0.25">
      <c r="B40" s="165" t="s">
        <v>93</v>
      </c>
      <c r="C40" s="38">
        <v>4550718</v>
      </c>
      <c r="D40" s="173"/>
      <c r="E40" s="190"/>
      <c r="G40" s="175"/>
      <c r="H40" s="217"/>
      <c r="I40" s="175"/>
      <c r="J40" s="182"/>
      <c r="K40" s="182"/>
      <c r="L40" s="184"/>
      <c r="M40" s="38"/>
      <c r="N40" s="38"/>
      <c r="P40" s="36"/>
      <c r="Q40" s="36"/>
      <c r="R40" s="36"/>
    </row>
    <row r="41" spans="2:18" hidden="1" x14ac:dyDescent="0.25">
      <c r="C41" s="38"/>
      <c r="D41" s="175"/>
      <c r="E41" s="173"/>
      <c r="G41" s="175"/>
      <c r="H41" s="218"/>
      <c r="I41" s="175"/>
      <c r="J41" s="175"/>
      <c r="K41" s="175"/>
      <c r="L41" s="38"/>
      <c r="M41" s="38"/>
      <c r="N41" s="38"/>
      <c r="P41" s="36"/>
      <c r="Q41" s="36"/>
      <c r="R41" s="36"/>
    </row>
    <row r="42" spans="2:18" ht="20.25" hidden="1" thickBot="1" x14ac:dyDescent="0.35">
      <c r="B42" s="161" t="s">
        <v>284</v>
      </c>
      <c r="C42" s="38"/>
      <c r="D42" s="175"/>
      <c r="E42" s="220"/>
      <c r="G42" s="175"/>
      <c r="H42" s="218"/>
      <c r="I42" s="175"/>
      <c r="J42" s="175"/>
      <c r="K42" s="175"/>
      <c r="L42" s="38"/>
      <c r="M42" s="38"/>
      <c r="N42" s="38"/>
      <c r="P42" s="36"/>
      <c r="Q42" s="36"/>
      <c r="R42" s="36"/>
    </row>
    <row r="43" spans="2:18" hidden="1" x14ac:dyDescent="0.25">
      <c r="B43" s="165" t="s">
        <v>87</v>
      </c>
      <c r="C43" s="38">
        <f>7265929+3420+278</f>
        <v>7269627</v>
      </c>
      <c r="D43" s="175"/>
      <c r="E43" s="173"/>
      <c r="G43" s="175"/>
      <c r="H43" s="217"/>
      <c r="I43" s="175"/>
      <c r="J43" s="175"/>
      <c r="K43" s="175"/>
      <c r="L43" s="38"/>
      <c r="M43" s="38"/>
      <c r="N43" s="38"/>
      <c r="P43" s="36"/>
      <c r="Q43" s="36"/>
      <c r="R43" s="36"/>
    </row>
    <row r="44" spans="2:18" hidden="1" x14ac:dyDescent="0.25">
      <c r="B44" s="164" t="s">
        <v>42</v>
      </c>
      <c r="C44" s="38">
        <f>1347280*0.44</f>
        <v>592803.19999999995</v>
      </c>
      <c r="D44" s="184"/>
      <c r="E44" s="173"/>
      <c r="G44" s="175"/>
      <c r="H44" s="217"/>
      <c r="I44" s="175"/>
      <c r="J44" s="175"/>
      <c r="K44" s="175"/>
      <c r="L44" s="38"/>
      <c r="M44" s="38"/>
      <c r="N44" s="38"/>
      <c r="P44" s="36"/>
      <c r="Q44" s="36"/>
      <c r="R44" s="36"/>
    </row>
    <row r="45" spans="2:18" hidden="1" x14ac:dyDescent="0.25">
      <c r="B45" s="164" t="s">
        <v>94</v>
      </c>
      <c r="C45" s="38">
        <v>710515</v>
      </c>
      <c r="D45" s="175"/>
      <c r="E45" s="190"/>
      <c r="G45" s="175"/>
      <c r="H45" s="217"/>
      <c r="I45" s="175"/>
      <c r="J45" s="175"/>
      <c r="K45" s="175"/>
      <c r="L45" s="38"/>
      <c r="M45" s="38"/>
      <c r="N45" s="38"/>
      <c r="P45" s="36"/>
      <c r="Q45" s="36"/>
      <c r="R45" s="36"/>
    </row>
    <row r="46" spans="2:18" hidden="1" x14ac:dyDescent="0.25">
      <c r="C46" s="38"/>
      <c r="D46" s="175"/>
      <c r="E46" s="173"/>
      <c r="G46" s="175"/>
      <c r="H46" s="218"/>
      <c r="I46" s="175"/>
      <c r="J46" s="175"/>
      <c r="K46" s="175"/>
      <c r="L46" s="38"/>
      <c r="M46" s="38"/>
      <c r="N46" s="38"/>
      <c r="P46" s="36"/>
      <c r="Q46" s="36"/>
      <c r="R46" s="36"/>
    </row>
    <row r="47" spans="2:18" ht="20.25" hidden="1" thickBot="1" x14ac:dyDescent="0.35">
      <c r="B47" s="161" t="s">
        <v>90</v>
      </c>
      <c r="C47" s="38">
        <f>+C43+C40</f>
        <v>11820345</v>
      </c>
      <c r="D47" s="175"/>
      <c r="E47" s="190"/>
      <c r="G47" s="175"/>
      <c r="H47" s="218"/>
      <c r="I47" s="175"/>
      <c r="J47" s="175"/>
      <c r="K47" s="175"/>
      <c r="L47" s="38"/>
      <c r="M47" s="38"/>
      <c r="N47" s="38"/>
      <c r="P47" s="36"/>
      <c r="Q47" s="36"/>
      <c r="R47" s="36"/>
    </row>
    <row r="48" spans="2:18" hidden="1" x14ac:dyDescent="0.25">
      <c r="C48" s="38">
        <v>1154420</v>
      </c>
      <c r="D48" s="175"/>
      <c r="E48" s="173"/>
      <c r="G48" s="175"/>
      <c r="H48" s="217"/>
      <c r="I48" s="175"/>
      <c r="J48" s="175"/>
      <c r="K48" s="175"/>
      <c r="L48" s="38"/>
      <c r="M48" s="38"/>
      <c r="N48" s="38"/>
      <c r="P48" s="36"/>
      <c r="Q48" s="36"/>
      <c r="R48" s="36"/>
    </row>
    <row r="49" spans="2:18" hidden="1" x14ac:dyDescent="0.25">
      <c r="C49" s="38"/>
      <c r="D49" s="175"/>
      <c r="E49" s="173"/>
      <c r="G49" s="175"/>
      <c r="H49" s="218"/>
      <c r="I49" s="175"/>
      <c r="J49" s="175"/>
      <c r="K49" s="175"/>
      <c r="L49" s="38"/>
      <c r="M49" s="38"/>
      <c r="N49" s="38"/>
      <c r="P49" s="36"/>
      <c r="Q49" s="36"/>
      <c r="R49" s="36"/>
    </row>
    <row r="50" spans="2:18" ht="20.25" hidden="1" thickBot="1" x14ac:dyDescent="0.35">
      <c r="B50" s="161" t="s">
        <v>91</v>
      </c>
      <c r="C50" s="38"/>
      <c r="D50" s="175">
        <f>471930+64180</f>
        <v>536110</v>
      </c>
      <c r="E50" s="190"/>
      <c r="G50" s="175"/>
      <c r="H50" s="217"/>
      <c r="I50" s="175"/>
      <c r="J50" s="175"/>
      <c r="K50" s="175"/>
      <c r="L50" s="38"/>
      <c r="M50" s="38"/>
      <c r="N50" s="38"/>
      <c r="P50" s="36"/>
      <c r="Q50" s="36"/>
      <c r="R50" s="36"/>
    </row>
    <row r="51" spans="2:18" hidden="1" x14ac:dyDescent="0.25">
      <c r="C51" s="38"/>
      <c r="D51" s="175"/>
      <c r="E51" s="173"/>
      <c r="G51" s="175"/>
      <c r="H51" s="218"/>
      <c r="I51" s="175"/>
      <c r="J51" s="175"/>
      <c r="K51" s="175"/>
      <c r="L51" s="38"/>
      <c r="M51" s="38"/>
      <c r="N51" s="38"/>
      <c r="P51" s="36"/>
      <c r="Q51" s="36"/>
      <c r="R51" s="36"/>
    </row>
    <row r="52" spans="2:18" ht="20.25" hidden="1" thickBot="1" x14ac:dyDescent="0.35">
      <c r="B52" s="161" t="s">
        <v>287</v>
      </c>
      <c r="C52" s="38">
        <v>335130</v>
      </c>
      <c r="D52" s="175"/>
      <c r="E52" s="173"/>
      <c r="G52" s="175"/>
      <c r="H52" s="217"/>
      <c r="I52" s="175"/>
      <c r="J52" s="175"/>
      <c r="K52" s="175"/>
      <c r="L52" s="38"/>
      <c r="M52" s="38"/>
      <c r="N52" s="38"/>
      <c r="P52" s="36"/>
      <c r="Q52" s="36"/>
      <c r="R52" s="36"/>
    </row>
    <row r="53" spans="2:18" hidden="1" x14ac:dyDescent="0.25">
      <c r="C53" s="38"/>
      <c r="D53" s="175"/>
      <c r="E53" s="175"/>
      <c r="G53" s="175"/>
      <c r="H53" s="218"/>
      <c r="I53" s="175"/>
      <c r="J53" s="175"/>
      <c r="K53" s="175"/>
      <c r="L53" s="38"/>
      <c r="M53" s="38"/>
      <c r="N53" s="38"/>
      <c r="P53" s="36"/>
      <c r="Q53" s="36"/>
      <c r="R53" s="36"/>
    </row>
    <row r="54" spans="2:18" hidden="1" x14ac:dyDescent="0.25">
      <c r="B54" s="188" t="s">
        <v>13</v>
      </c>
      <c r="C54" s="38">
        <f>SUM(C38:C52)</f>
        <v>40775140</v>
      </c>
      <c r="D54" s="38">
        <f>SUM(D38:D52)</f>
        <v>536110</v>
      </c>
      <c r="E54" s="40">
        <f>SUM(E38:E52)</f>
        <v>0</v>
      </c>
      <c r="G54" s="175"/>
      <c r="H54" s="219"/>
      <c r="I54" s="175"/>
      <c r="J54" s="175"/>
      <c r="K54" s="175"/>
      <c r="L54" s="38"/>
      <c r="M54" s="38"/>
      <c r="N54" s="38"/>
      <c r="P54" s="36"/>
      <c r="Q54" s="36"/>
      <c r="R54" s="36"/>
    </row>
    <row r="55" spans="2:18" hidden="1" x14ac:dyDescent="0.25">
      <c r="C55" s="38"/>
      <c r="D55" s="185"/>
      <c r="E55" s="175"/>
      <c r="G55" s="175"/>
      <c r="H55" s="218"/>
      <c r="I55" s="175"/>
      <c r="J55" s="175"/>
      <c r="K55" s="175"/>
      <c r="L55" s="38"/>
      <c r="M55" s="38"/>
      <c r="N55" s="38"/>
      <c r="P55" s="36"/>
      <c r="Q55" s="36"/>
      <c r="R55" s="36"/>
    </row>
    <row r="56" spans="2:18" hidden="1" x14ac:dyDescent="0.25">
      <c r="B56" s="188" t="s">
        <v>92</v>
      </c>
      <c r="C56" s="38">
        <f>560140+51525+27720+217720+105285+760620+247150+494900+578740+276155+757605-20000+41410</f>
        <v>4098970</v>
      </c>
      <c r="D56" s="175"/>
      <c r="E56" s="175"/>
      <c r="G56" s="175"/>
      <c r="H56" s="217"/>
      <c r="I56" s="175"/>
      <c r="J56" s="175"/>
      <c r="K56" s="175"/>
      <c r="L56" s="38"/>
      <c r="M56" s="38"/>
      <c r="N56" s="38"/>
      <c r="P56" s="36"/>
      <c r="Q56" s="36"/>
      <c r="R56" s="36"/>
    </row>
    <row r="57" spans="2:18" hidden="1" x14ac:dyDescent="0.25">
      <c r="C57" s="38"/>
      <c r="D57" s="175"/>
      <c r="E57" s="175"/>
      <c r="G57" s="175"/>
      <c r="H57" s="175"/>
      <c r="I57" s="175"/>
      <c r="J57" s="175"/>
      <c r="K57" s="175"/>
      <c r="L57" s="38"/>
      <c r="M57" s="40"/>
      <c r="N57" s="36"/>
      <c r="P57" s="36"/>
      <c r="Q57" s="36"/>
      <c r="R57" s="36"/>
    </row>
    <row r="58" spans="2:18" hidden="1" x14ac:dyDescent="0.25">
      <c r="C58" s="38"/>
      <c r="D58" s="185"/>
      <c r="E58" s="175"/>
      <c r="G58" s="175"/>
      <c r="H58" s="175"/>
      <c r="I58" s="175"/>
      <c r="J58" s="175"/>
      <c r="K58" s="175"/>
      <c r="L58" s="38"/>
      <c r="M58" s="38"/>
      <c r="N58" s="38"/>
      <c r="P58" s="36"/>
      <c r="Q58" s="36"/>
      <c r="R58" s="36"/>
    </row>
    <row r="59" spans="2:18" hidden="1" x14ac:dyDescent="0.25">
      <c r="B59" s="188" t="s">
        <v>288</v>
      </c>
      <c r="D59" s="175"/>
      <c r="E59" s="175"/>
      <c r="G59" s="175"/>
      <c r="H59" s="175"/>
      <c r="I59" s="175"/>
      <c r="J59" s="175"/>
      <c r="K59" s="175"/>
      <c r="L59" s="38"/>
      <c r="M59" s="183"/>
      <c r="N59" s="183"/>
      <c r="P59" s="36"/>
      <c r="Q59" s="36"/>
      <c r="R59" s="36"/>
    </row>
    <row r="60" spans="2:18" hidden="1" x14ac:dyDescent="0.25">
      <c r="C60" s="38"/>
      <c r="D60" s="175"/>
      <c r="E60" s="175"/>
      <c r="G60" s="175"/>
      <c r="H60" s="175"/>
      <c r="I60" s="175"/>
      <c r="J60" s="175"/>
      <c r="K60" s="175"/>
      <c r="L60" s="38"/>
      <c r="M60" s="186"/>
      <c r="N60" s="186"/>
      <c r="P60" s="36"/>
      <c r="Q60" s="36"/>
      <c r="R60" s="36"/>
    </row>
    <row r="61" spans="2:18" hidden="1" x14ac:dyDescent="0.25">
      <c r="C61" s="38"/>
      <c r="D61" s="175"/>
      <c r="E61" s="175"/>
      <c r="G61" s="175"/>
      <c r="H61" s="175"/>
      <c r="I61" s="175"/>
      <c r="J61" s="175"/>
      <c r="K61" s="175"/>
      <c r="L61" s="38"/>
      <c r="M61" s="38"/>
      <c r="N61" s="38"/>
      <c r="P61" s="36"/>
      <c r="Q61" s="36"/>
      <c r="R61" s="36"/>
    </row>
    <row r="62" spans="2:18" hidden="1" x14ac:dyDescent="0.25">
      <c r="C62" s="38"/>
      <c r="D62" s="175"/>
      <c r="E62" s="175"/>
      <c r="G62" s="175"/>
      <c r="H62" s="175"/>
      <c r="I62" s="175"/>
      <c r="J62" s="175"/>
      <c r="K62" s="175"/>
      <c r="L62" s="38"/>
      <c r="M62" s="38"/>
      <c r="N62" s="38"/>
      <c r="P62" s="36"/>
      <c r="Q62" s="36"/>
      <c r="R62" s="36"/>
    </row>
    <row r="63" spans="2:18" ht="22.5" hidden="1" x14ac:dyDescent="0.3">
      <c r="B63" s="160">
        <v>2013</v>
      </c>
      <c r="C63" s="38"/>
      <c r="D63" s="175"/>
      <c r="E63" s="175"/>
      <c r="G63" s="175"/>
      <c r="H63" s="175"/>
      <c r="I63" s="175"/>
      <c r="J63" s="175"/>
      <c r="K63" s="175"/>
      <c r="L63" s="38"/>
      <c r="M63" s="38"/>
      <c r="N63" s="38"/>
      <c r="P63" s="36"/>
      <c r="Q63" s="36"/>
      <c r="R63" s="36"/>
    </row>
    <row r="64" spans="2:18" hidden="1" x14ac:dyDescent="0.25">
      <c r="C64" s="38"/>
      <c r="D64" s="38"/>
      <c r="E64" s="38"/>
      <c r="G64" s="38"/>
      <c r="H64" s="38"/>
      <c r="I64" s="38"/>
      <c r="J64" s="175"/>
      <c r="K64" s="175"/>
      <c r="L64" s="38"/>
      <c r="M64" s="38"/>
      <c r="N64" s="38"/>
      <c r="P64" s="36"/>
      <c r="Q64" s="36"/>
      <c r="R64" s="36"/>
    </row>
    <row r="65" spans="2:18" ht="15.75" hidden="1" thickBot="1" x14ac:dyDescent="0.3">
      <c r="B65" s="176" t="s">
        <v>283</v>
      </c>
      <c r="C65" s="176" t="s">
        <v>280</v>
      </c>
      <c r="D65" s="177" t="s">
        <v>285</v>
      </c>
      <c r="E65" t="s">
        <v>89</v>
      </c>
      <c r="G65" s="177"/>
      <c r="H65" s="187"/>
      <c r="I65" s="177"/>
      <c r="J65" s="38"/>
      <c r="K65" s="38"/>
      <c r="L65" s="38"/>
      <c r="M65" s="38"/>
      <c r="N65" s="38"/>
      <c r="P65" s="36"/>
      <c r="Q65" s="36"/>
      <c r="R65" s="36"/>
    </row>
    <row r="66" spans="2:18" ht="20.25" hidden="1" thickBot="1" x14ac:dyDescent="0.35">
      <c r="B66" s="161" t="s">
        <v>282</v>
      </c>
      <c r="C66" s="172"/>
      <c r="D66" s="181"/>
      <c r="E66" s="181"/>
      <c r="G66" s="175"/>
      <c r="H66" s="175"/>
      <c r="I66" s="175"/>
      <c r="J66" s="177"/>
      <c r="K66" s="177"/>
      <c r="L66" s="177"/>
      <c r="M66" s="38"/>
      <c r="N66" s="38"/>
      <c r="P66" s="36"/>
      <c r="Q66" s="36"/>
      <c r="R66" s="36"/>
    </row>
    <row r="67" spans="2:18" hidden="1" x14ac:dyDescent="0.25">
      <c r="B67" s="179" t="s">
        <v>88</v>
      </c>
      <c r="C67" s="180">
        <v>11889000</v>
      </c>
      <c r="D67" s="182"/>
      <c r="E67" s="189"/>
      <c r="G67" s="181"/>
      <c r="H67" s="181"/>
      <c r="I67" s="181"/>
      <c r="J67" s="175"/>
      <c r="K67" s="175"/>
      <c r="L67" s="38"/>
      <c r="M67" s="38"/>
      <c r="N67" s="38"/>
      <c r="P67" s="36"/>
      <c r="Q67" s="36"/>
      <c r="R67" s="36"/>
    </row>
    <row r="68" spans="2:18" hidden="1" x14ac:dyDescent="0.25">
      <c r="B68" s="171" t="s">
        <v>42</v>
      </c>
      <c r="C68" s="184">
        <f>121833+374236*0.22</f>
        <v>204164.91999999998</v>
      </c>
      <c r="D68" s="184">
        <f>+C63*(C68/(C68+C73))</f>
        <v>0</v>
      </c>
      <c r="E68" s="190"/>
      <c r="G68" s="182"/>
      <c r="H68" s="181"/>
      <c r="I68" s="182"/>
      <c r="J68" s="181"/>
      <c r="K68" s="181"/>
      <c r="L68" s="183"/>
      <c r="M68" s="38"/>
      <c r="N68" s="38"/>
      <c r="P68" s="36"/>
      <c r="Q68" s="36"/>
      <c r="R68" s="36"/>
    </row>
    <row r="69" spans="2:18" hidden="1" x14ac:dyDescent="0.25">
      <c r="B69" s="165" t="s">
        <v>93</v>
      </c>
      <c r="C69" s="38">
        <v>3959335</v>
      </c>
      <c r="D69" s="175">
        <v>99451.407910567854</v>
      </c>
      <c r="E69" s="190"/>
      <c r="G69" s="175"/>
      <c r="H69" s="181"/>
      <c r="I69" s="175"/>
      <c r="J69" s="182"/>
      <c r="K69" s="182"/>
      <c r="L69" s="186"/>
      <c r="M69" s="212"/>
      <c r="N69" s="212"/>
      <c r="P69" s="36"/>
      <c r="Q69" s="36"/>
      <c r="R69" s="36"/>
    </row>
    <row r="70" spans="2:18" hidden="1" x14ac:dyDescent="0.25">
      <c r="C70" s="38"/>
      <c r="D70" s="175"/>
      <c r="E70" s="173"/>
      <c r="G70" s="175"/>
      <c r="H70" s="175"/>
      <c r="I70" s="175"/>
      <c r="J70" s="175"/>
      <c r="K70" s="175"/>
      <c r="L70" s="38"/>
      <c r="M70" s="38"/>
      <c r="N70" s="38"/>
      <c r="P70" s="36"/>
      <c r="Q70" s="36"/>
      <c r="R70" s="36"/>
    </row>
    <row r="71" spans="2:18" ht="20.25" hidden="1" thickBot="1" x14ac:dyDescent="0.35">
      <c r="B71" s="161" t="s">
        <v>284</v>
      </c>
      <c r="C71" s="38"/>
      <c r="D71" s="175"/>
      <c r="E71" s="173"/>
      <c r="G71" s="175"/>
      <c r="H71" s="175"/>
      <c r="I71" s="175"/>
      <c r="J71" s="175"/>
      <c r="K71" s="175"/>
      <c r="L71" s="38"/>
      <c r="M71" s="38"/>
      <c r="N71" s="38"/>
      <c r="P71" s="36"/>
      <c r="Q71" s="36"/>
      <c r="R71" s="36"/>
    </row>
    <row r="72" spans="2:18" hidden="1" x14ac:dyDescent="0.25">
      <c r="B72" s="165" t="s">
        <v>87</v>
      </c>
      <c r="C72" s="38">
        <v>6333121</v>
      </c>
      <c r="D72" s="175">
        <v>159076.66310579513</v>
      </c>
      <c r="E72" s="173"/>
      <c r="G72" s="175"/>
      <c r="H72" s="181"/>
      <c r="I72" s="175"/>
      <c r="J72" s="175"/>
      <c r="K72" s="175"/>
      <c r="L72" s="38"/>
      <c r="M72" s="38"/>
      <c r="N72" s="38"/>
      <c r="P72" s="36"/>
      <c r="Q72" s="36"/>
      <c r="R72" s="36"/>
    </row>
    <row r="73" spans="2:18" hidden="1" x14ac:dyDescent="0.25">
      <c r="B73" s="164" t="s">
        <v>42</v>
      </c>
      <c r="C73" s="38">
        <f>428085+374236*0.78</f>
        <v>719989.08000000007</v>
      </c>
      <c r="D73" s="184">
        <v>0</v>
      </c>
      <c r="E73" s="173"/>
      <c r="G73" s="175"/>
      <c r="H73" s="181"/>
      <c r="I73" s="175"/>
      <c r="J73" s="175"/>
      <c r="K73" s="175"/>
      <c r="L73" s="38"/>
      <c r="M73" s="38"/>
      <c r="N73" s="38"/>
      <c r="P73" s="36"/>
      <c r="Q73" s="36"/>
      <c r="R73" s="36"/>
    </row>
    <row r="74" spans="2:18" hidden="1" x14ac:dyDescent="0.25">
      <c r="B74" s="164" t="s">
        <v>94</v>
      </c>
      <c r="C74" s="38">
        <v>1093427</v>
      </c>
      <c r="D74" s="175">
        <v>27464.928983637019</v>
      </c>
      <c r="E74" s="190"/>
      <c r="G74" s="175"/>
      <c r="H74" s="181"/>
      <c r="I74" s="175"/>
      <c r="J74" s="175"/>
      <c r="K74" s="175"/>
      <c r="L74" s="38"/>
      <c r="M74" s="38"/>
      <c r="N74" s="38"/>
      <c r="P74" s="36"/>
      <c r="Q74" s="36"/>
      <c r="R74" s="36"/>
    </row>
    <row r="75" spans="2:18" hidden="1" x14ac:dyDescent="0.25">
      <c r="C75" s="38"/>
      <c r="D75" s="175"/>
      <c r="E75" s="173"/>
      <c r="G75" s="175"/>
      <c r="H75" s="175"/>
      <c r="I75" s="175"/>
      <c r="J75" s="175"/>
      <c r="K75" s="175"/>
      <c r="L75" s="38"/>
      <c r="M75" s="38"/>
      <c r="N75" s="38"/>
      <c r="P75" s="36"/>
      <c r="Q75" s="36"/>
      <c r="R75" s="36"/>
    </row>
    <row r="76" spans="2:18" ht="20.25" hidden="1" thickBot="1" x14ac:dyDescent="0.35">
      <c r="B76" s="161" t="s">
        <v>90</v>
      </c>
      <c r="C76" s="38"/>
      <c r="D76" s="175"/>
      <c r="E76" s="190"/>
      <c r="G76" s="175"/>
      <c r="H76" s="175"/>
      <c r="I76" s="175"/>
      <c r="J76" s="175"/>
      <c r="K76" s="175"/>
      <c r="L76" s="38"/>
      <c r="M76" s="38"/>
      <c r="N76" s="38"/>
      <c r="P76" s="36"/>
      <c r="Q76" s="36"/>
      <c r="R76" s="36"/>
    </row>
    <row r="77" spans="2:18" hidden="1" x14ac:dyDescent="0.25">
      <c r="B77" s="211"/>
      <c r="C77" s="212">
        <v>539705</v>
      </c>
      <c r="D77" s="213">
        <v>167295</v>
      </c>
      <c r="E77" s="214"/>
      <c r="G77" s="213"/>
      <c r="H77" s="215"/>
      <c r="I77" s="213"/>
      <c r="J77" s="175"/>
      <c r="K77" s="175"/>
      <c r="L77" s="38"/>
      <c r="M77" s="38"/>
      <c r="N77" s="38"/>
      <c r="P77" s="36"/>
      <c r="Q77" s="36"/>
      <c r="R77" s="36"/>
    </row>
    <row r="78" spans="2:18" hidden="1" x14ac:dyDescent="0.25">
      <c r="C78" s="38"/>
      <c r="D78" s="175"/>
      <c r="E78" s="173"/>
      <c r="G78" s="175"/>
      <c r="H78" s="175"/>
      <c r="I78" s="175"/>
      <c r="J78" s="213"/>
      <c r="K78" s="213"/>
      <c r="L78" s="212"/>
      <c r="M78" s="38"/>
      <c r="N78" s="38"/>
      <c r="P78" s="36"/>
      <c r="Q78" s="36"/>
      <c r="R78" s="36"/>
    </row>
    <row r="79" spans="2:18" ht="20.25" hidden="1" thickBot="1" x14ac:dyDescent="0.35">
      <c r="B79" s="161" t="s">
        <v>91</v>
      </c>
      <c r="C79" s="38"/>
      <c r="D79" s="175"/>
      <c r="E79" s="190"/>
      <c r="G79" s="175"/>
      <c r="H79" s="181"/>
      <c r="I79" s="175"/>
      <c r="J79" s="175"/>
      <c r="K79" s="175"/>
      <c r="L79" s="38"/>
      <c r="M79" s="38"/>
      <c r="N79" s="38"/>
      <c r="P79" s="36"/>
      <c r="Q79" s="36"/>
      <c r="R79" s="36"/>
    </row>
    <row r="80" spans="2:18" hidden="1" x14ac:dyDescent="0.25">
      <c r="C80" s="38">
        <v>167200</v>
      </c>
      <c r="D80" s="175">
        <v>120909</v>
      </c>
      <c r="E80" s="173"/>
      <c r="G80" s="175"/>
      <c r="H80" s="181"/>
      <c r="I80" s="175"/>
      <c r="J80" s="175"/>
      <c r="K80" s="175"/>
      <c r="L80" s="38"/>
      <c r="M80" s="38"/>
      <c r="N80" s="38"/>
      <c r="P80" s="36"/>
      <c r="Q80" s="36"/>
      <c r="R80" s="36"/>
    </row>
    <row r="81" spans="2:18" ht="20.25" hidden="1" thickBot="1" x14ac:dyDescent="0.35">
      <c r="B81" s="161" t="s">
        <v>287</v>
      </c>
      <c r="C81" s="38"/>
      <c r="D81" s="175"/>
      <c r="E81" s="173"/>
      <c r="G81" s="175"/>
      <c r="H81" s="181"/>
      <c r="I81" s="175"/>
      <c r="J81" s="175"/>
      <c r="K81" s="175"/>
      <c r="L81" s="38"/>
      <c r="P81" s="36"/>
      <c r="Q81" s="36"/>
      <c r="R81" s="36"/>
    </row>
    <row r="82" spans="2:18" hidden="1" x14ac:dyDescent="0.25">
      <c r="C82" s="38"/>
      <c r="D82" s="175"/>
      <c r="E82" s="175"/>
      <c r="G82" s="175"/>
      <c r="H82" s="175"/>
      <c r="I82" s="175"/>
      <c r="J82" s="175"/>
      <c r="K82" s="175"/>
      <c r="L82" s="38"/>
      <c r="P82" s="36"/>
      <c r="Q82" s="36"/>
      <c r="R82" s="36"/>
    </row>
    <row r="83" spans="2:18" hidden="1" x14ac:dyDescent="0.25">
      <c r="B83" s="188" t="s">
        <v>13</v>
      </c>
      <c r="C83" s="38">
        <f>SUM(C67:C81)</f>
        <v>24905942</v>
      </c>
      <c r="D83" s="38">
        <f>SUM(D67:D81)</f>
        <v>574197</v>
      </c>
      <c r="E83" s="40">
        <f>SUM(E67:E81)</f>
        <v>0</v>
      </c>
      <c r="G83" s="175"/>
      <c r="H83" s="38"/>
      <c r="I83" s="175"/>
      <c r="J83" s="175"/>
      <c r="K83" s="175"/>
      <c r="L83" s="38"/>
      <c r="P83" s="36"/>
      <c r="Q83" s="36"/>
      <c r="R83" s="36"/>
    </row>
    <row r="84" spans="2:18" hidden="1" x14ac:dyDescent="0.25">
      <c r="C84" s="38"/>
      <c r="D84" s="185"/>
      <c r="E84" s="175"/>
      <c r="G84" s="175"/>
      <c r="H84" s="175"/>
      <c r="I84" s="175"/>
      <c r="J84" s="175"/>
      <c r="K84" s="175"/>
      <c r="L84" s="38"/>
      <c r="M84" s="38"/>
      <c r="N84" s="38"/>
      <c r="P84" s="36"/>
      <c r="Q84" s="36"/>
      <c r="R84" s="36"/>
    </row>
    <row r="85" spans="2:18" hidden="1" x14ac:dyDescent="0.25">
      <c r="B85" s="188" t="s">
        <v>92</v>
      </c>
      <c r="C85" s="38">
        <v>3284000</v>
      </c>
      <c r="D85" s="175"/>
      <c r="E85" s="175"/>
      <c r="G85" s="175"/>
      <c r="H85" s="181"/>
      <c r="I85" s="175"/>
      <c r="J85" s="175"/>
      <c r="K85" s="175"/>
      <c r="L85" s="38"/>
      <c r="M85" s="38"/>
      <c r="N85" s="38"/>
      <c r="P85" s="36"/>
      <c r="Q85" s="36"/>
      <c r="R85" s="36"/>
    </row>
    <row r="86" spans="2:18" hidden="1" x14ac:dyDescent="0.25">
      <c r="C86" s="38"/>
      <c r="D86" s="175"/>
      <c r="E86" s="175"/>
      <c r="G86" s="175"/>
      <c r="H86" s="175"/>
      <c r="I86" s="175"/>
      <c r="J86" s="175"/>
      <c r="K86" s="175"/>
      <c r="L86" s="38"/>
      <c r="M86" s="40"/>
      <c r="N86" s="36"/>
      <c r="P86" s="36"/>
      <c r="Q86" s="36"/>
      <c r="R86" s="36"/>
    </row>
    <row r="87" spans="2:18" hidden="1" x14ac:dyDescent="0.25">
      <c r="C87" s="38"/>
      <c r="D87" s="185"/>
      <c r="E87" s="175"/>
      <c r="G87" s="175"/>
      <c r="H87" s="175"/>
      <c r="I87" s="175"/>
      <c r="J87" s="175"/>
      <c r="K87" s="175"/>
      <c r="L87" s="38"/>
      <c r="M87" s="38"/>
      <c r="N87" s="38"/>
      <c r="P87" s="36"/>
      <c r="Q87" s="36"/>
      <c r="R87" s="36"/>
    </row>
    <row r="88" spans="2:18" hidden="1" x14ac:dyDescent="0.25">
      <c r="B88" s="188" t="s">
        <v>288</v>
      </c>
      <c r="C88" s="38"/>
      <c r="D88" s="175"/>
      <c r="E88" s="175"/>
      <c r="G88" s="175"/>
      <c r="H88" s="175"/>
      <c r="I88" s="175"/>
      <c r="J88" s="175"/>
      <c r="K88" s="175"/>
      <c r="L88" s="38"/>
      <c r="M88" s="183"/>
      <c r="N88" s="183"/>
      <c r="P88" s="36"/>
      <c r="Q88" s="36"/>
      <c r="R88" s="36"/>
    </row>
    <row r="89" spans="2:18" hidden="1" x14ac:dyDescent="0.25">
      <c r="J89" s="175"/>
      <c r="K89" s="175"/>
      <c r="L89" s="38"/>
      <c r="M89" s="186"/>
      <c r="N89" s="186"/>
      <c r="P89" s="36"/>
      <c r="Q89" s="36"/>
      <c r="R89" s="36"/>
    </row>
    <row r="90" spans="2:18" hidden="1" x14ac:dyDescent="0.25">
      <c r="M90" s="38"/>
      <c r="N90" s="38"/>
      <c r="P90" s="36"/>
      <c r="Q90" s="36"/>
      <c r="R90" s="36"/>
    </row>
    <row r="91" spans="2:18" hidden="1" x14ac:dyDescent="0.25">
      <c r="M91" s="38"/>
      <c r="N91" s="38"/>
      <c r="P91" s="36"/>
      <c r="Q91" s="36"/>
      <c r="R91" s="36"/>
    </row>
    <row r="92" spans="2:18" ht="22.5" hidden="1" x14ac:dyDescent="0.3">
      <c r="B92" s="160" t="s">
        <v>289</v>
      </c>
      <c r="C92" s="38"/>
      <c r="D92" s="175"/>
      <c r="E92" s="175"/>
      <c r="G92" s="175"/>
      <c r="H92" s="175"/>
      <c r="I92" s="175"/>
      <c r="M92" s="38"/>
      <c r="N92" s="38"/>
      <c r="P92" s="36"/>
      <c r="Q92" s="36"/>
      <c r="R92" s="36"/>
    </row>
    <row r="93" spans="2:18" hidden="1" x14ac:dyDescent="0.25">
      <c r="C93" s="38"/>
      <c r="D93" s="38"/>
      <c r="E93" s="38"/>
      <c r="G93" s="38"/>
      <c r="H93" s="38"/>
      <c r="I93" s="38"/>
      <c r="J93" s="175"/>
      <c r="K93" s="175"/>
      <c r="L93" s="38"/>
      <c r="M93" s="38"/>
      <c r="N93" s="38"/>
      <c r="P93" s="36"/>
      <c r="Q93" s="36"/>
      <c r="R93" s="36"/>
    </row>
    <row r="94" spans="2:18" ht="15.75" hidden="1" thickBot="1" x14ac:dyDescent="0.3">
      <c r="B94" s="176" t="s">
        <v>283</v>
      </c>
      <c r="C94" s="176" t="s">
        <v>280</v>
      </c>
      <c r="D94" s="177" t="s">
        <v>285</v>
      </c>
      <c r="E94" t="s">
        <v>89</v>
      </c>
      <c r="G94" s="177"/>
      <c r="H94" s="187"/>
      <c r="I94" s="177"/>
      <c r="J94" s="38"/>
      <c r="K94" s="38"/>
      <c r="L94" s="38"/>
      <c r="M94" s="38"/>
      <c r="N94" s="38"/>
      <c r="P94" s="36"/>
      <c r="Q94" s="36"/>
      <c r="R94" s="36"/>
    </row>
    <row r="95" spans="2:18" ht="20.25" hidden="1" thickBot="1" x14ac:dyDescent="0.35">
      <c r="B95" s="161" t="s">
        <v>282</v>
      </c>
      <c r="C95" s="172"/>
      <c r="D95" s="181"/>
      <c r="E95" s="181"/>
      <c r="G95" s="175"/>
      <c r="H95" s="175"/>
      <c r="I95" s="175"/>
      <c r="J95" s="177"/>
      <c r="K95" s="177"/>
      <c r="L95" s="177"/>
      <c r="M95" s="38"/>
      <c r="N95" s="38"/>
      <c r="P95" s="36"/>
      <c r="Q95" s="36"/>
      <c r="R95" s="36"/>
    </row>
    <row r="96" spans="2:18" hidden="1" x14ac:dyDescent="0.25">
      <c r="B96" s="179" t="s">
        <v>88</v>
      </c>
      <c r="C96" s="180">
        <v>13815000</v>
      </c>
      <c r="D96" s="182"/>
      <c r="E96" s="189"/>
      <c r="G96" s="181"/>
      <c r="H96" s="181"/>
      <c r="I96" s="181"/>
      <c r="J96" s="175"/>
      <c r="K96" s="175"/>
      <c r="L96" s="38"/>
      <c r="M96" s="38"/>
      <c r="N96" s="38"/>
      <c r="P96" s="36"/>
      <c r="Q96" s="36"/>
      <c r="R96" s="36"/>
    </row>
    <row r="97" spans="2:18" hidden="1" x14ac:dyDescent="0.25">
      <c r="B97" s="171" t="s">
        <v>42</v>
      </c>
      <c r="C97" s="38">
        <v>199822</v>
      </c>
      <c r="D97" s="184">
        <v>23400</v>
      </c>
      <c r="E97" s="190">
        <v>139888.80000000002</v>
      </c>
      <c r="G97" s="182"/>
      <c r="H97" s="181"/>
      <c r="I97" s="182"/>
      <c r="J97" s="181"/>
      <c r="K97" s="181"/>
      <c r="L97" s="183"/>
      <c r="M97" s="38"/>
      <c r="N97" s="38"/>
      <c r="P97" s="36"/>
      <c r="Q97" s="36"/>
      <c r="R97" s="36"/>
    </row>
    <row r="98" spans="2:18" hidden="1" x14ac:dyDescent="0.25">
      <c r="B98" s="165" t="s">
        <v>93</v>
      </c>
      <c r="C98" s="38">
        <v>4566266</v>
      </c>
      <c r="D98" s="175"/>
      <c r="E98" s="190"/>
      <c r="G98" s="175"/>
      <c r="H98" s="181"/>
      <c r="I98" s="175"/>
      <c r="J98" s="182"/>
      <c r="K98" s="182"/>
      <c r="L98" s="186"/>
      <c r="M98" s="38"/>
      <c r="N98" s="38"/>
      <c r="P98" s="36"/>
      <c r="Q98" s="36"/>
      <c r="R98" s="36"/>
    </row>
    <row r="99" spans="2:18" hidden="1" x14ac:dyDescent="0.25">
      <c r="C99" s="38"/>
      <c r="D99" s="175"/>
      <c r="E99" s="173"/>
      <c r="G99" s="175"/>
      <c r="H99" s="175"/>
      <c r="I99" s="175"/>
      <c r="J99" s="175"/>
      <c r="K99" s="175"/>
      <c r="L99" s="38"/>
      <c r="M99" s="38"/>
      <c r="N99" s="38"/>
      <c r="P99" s="36"/>
      <c r="Q99" s="36"/>
      <c r="R99" s="36"/>
    </row>
    <row r="100" spans="2:18" ht="20.25" hidden="1" thickBot="1" x14ac:dyDescent="0.35">
      <c r="B100" s="161" t="s">
        <v>284</v>
      </c>
      <c r="C100" s="38"/>
      <c r="D100" s="175"/>
      <c r="E100" s="173"/>
      <c r="G100" s="175"/>
      <c r="H100" s="175"/>
      <c r="I100" s="175"/>
      <c r="J100" s="175"/>
      <c r="K100" s="175"/>
      <c r="L100" s="38"/>
      <c r="M100" s="38"/>
      <c r="N100" s="38"/>
      <c r="P100" s="36"/>
      <c r="Q100" s="36"/>
      <c r="R100" s="36"/>
    </row>
    <row r="101" spans="2:18" hidden="1" x14ac:dyDescent="0.25">
      <c r="B101" s="165" t="s">
        <v>87</v>
      </c>
      <c r="C101" s="38">
        <v>6527229</v>
      </c>
      <c r="D101" s="175"/>
      <c r="E101" s="173"/>
      <c r="G101" s="175"/>
      <c r="H101" s="181"/>
      <c r="I101" s="175"/>
      <c r="J101" s="175"/>
      <c r="K101" s="175"/>
      <c r="L101" s="38"/>
      <c r="M101" s="38"/>
      <c r="N101" s="38"/>
      <c r="P101" s="36"/>
      <c r="Q101" s="36"/>
      <c r="R101" s="36"/>
    </row>
    <row r="102" spans="2:18" hidden="1" x14ac:dyDescent="0.25">
      <c r="B102" s="164" t="s">
        <v>42</v>
      </c>
      <c r="C102" s="38">
        <v>695734</v>
      </c>
      <c r="D102" s="184">
        <v>93600</v>
      </c>
      <c r="E102" s="173">
        <v>559555.20000000007</v>
      </c>
      <c r="G102" s="175"/>
      <c r="H102" s="181"/>
      <c r="I102" s="175"/>
      <c r="J102" s="175"/>
      <c r="K102" s="175"/>
      <c r="L102" s="38"/>
      <c r="M102" s="38"/>
      <c r="N102" s="38"/>
      <c r="P102" s="36"/>
      <c r="Q102" s="36"/>
      <c r="R102" s="36"/>
    </row>
    <row r="103" spans="2:18" hidden="1" x14ac:dyDescent="0.25">
      <c r="B103" s="164" t="s">
        <v>94</v>
      </c>
      <c r="C103" s="38">
        <v>158000</v>
      </c>
      <c r="D103" s="175"/>
      <c r="E103" s="190"/>
      <c r="G103" s="175"/>
      <c r="H103" s="181"/>
      <c r="I103" s="175"/>
      <c r="J103" s="175"/>
      <c r="K103" s="175"/>
      <c r="L103" s="38"/>
      <c r="M103" s="38"/>
      <c r="N103" s="38"/>
      <c r="P103" s="36"/>
      <c r="Q103" s="36"/>
      <c r="R103" s="36"/>
    </row>
    <row r="104" spans="2:18" hidden="1" x14ac:dyDescent="0.25">
      <c r="C104" s="38"/>
      <c r="D104" s="175"/>
      <c r="E104" s="173"/>
      <c r="G104" s="175"/>
      <c r="H104" s="175"/>
      <c r="I104" s="175"/>
      <c r="J104" s="175"/>
      <c r="K104" s="175"/>
      <c r="L104" s="38"/>
      <c r="M104" s="38"/>
      <c r="N104" s="38"/>
      <c r="P104" s="36"/>
      <c r="Q104" s="36"/>
      <c r="R104" s="36"/>
    </row>
    <row r="105" spans="2:18" ht="20.25" hidden="1" thickBot="1" x14ac:dyDescent="0.35">
      <c r="B105" s="161" t="s">
        <v>90</v>
      </c>
      <c r="C105" s="38"/>
      <c r="D105" s="175"/>
      <c r="E105" s="190"/>
      <c r="G105" s="175"/>
      <c r="H105" s="175"/>
      <c r="I105" s="175"/>
      <c r="J105" s="175"/>
      <c r="K105" s="175"/>
      <c r="L105" s="38"/>
      <c r="M105" s="38"/>
      <c r="N105" s="38"/>
      <c r="P105" s="36"/>
      <c r="Q105" s="36"/>
      <c r="R105" s="36"/>
    </row>
    <row r="106" spans="2:18" hidden="1" x14ac:dyDescent="0.25">
      <c r="C106" s="38">
        <v>568680</v>
      </c>
      <c r="D106" s="175">
        <v>145320</v>
      </c>
      <c r="E106" s="173"/>
      <c r="G106" s="175"/>
      <c r="H106" s="181"/>
      <c r="I106" s="175"/>
      <c r="J106" s="175"/>
      <c r="K106" s="175"/>
      <c r="L106" s="38"/>
      <c r="M106" s="38"/>
      <c r="N106" s="38"/>
      <c r="P106" s="36"/>
      <c r="Q106" s="36"/>
      <c r="R106" s="36"/>
    </row>
    <row r="107" spans="2:18" hidden="1" x14ac:dyDescent="0.25">
      <c r="C107" s="38"/>
      <c r="D107" s="175"/>
      <c r="E107" s="173"/>
      <c r="G107" s="175"/>
      <c r="H107" s="175"/>
      <c r="I107" s="175"/>
      <c r="J107" s="175"/>
      <c r="K107" s="175"/>
      <c r="L107" s="38"/>
      <c r="M107" s="38"/>
      <c r="N107" s="38"/>
      <c r="P107" s="36"/>
      <c r="Q107" s="36"/>
      <c r="R107" s="36"/>
    </row>
    <row r="108" spans="2:18" ht="20.25" hidden="1" thickBot="1" x14ac:dyDescent="0.35">
      <c r="B108" s="161" t="s">
        <v>91</v>
      </c>
      <c r="C108" s="38"/>
      <c r="D108" s="175"/>
      <c r="E108" s="190"/>
      <c r="G108" s="175"/>
      <c r="H108" s="181"/>
      <c r="I108" s="175"/>
      <c r="J108" s="175"/>
      <c r="K108" s="175"/>
      <c r="L108" s="38"/>
      <c r="M108" s="38"/>
      <c r="N108" s="38"/>
      <c r="P108" s="36"/>
      <c r="Q108" s="36"/>
      <c r="R108" s="36"/>
    </row>
    <row r="109" spans="2:18" hidden="1" x14ac:dyDescent="0.25">
      <c r="C109" s="38">
        <v>204525</v>
      </c>
      <c r="D109" s="175">
        <v>145475</v>
      </c>
      <c r="E109" s="173"/>
      <c r="G109" s="175"/>
      <c r="H109" s="181"/>
      <c r="I109" s="175"/>
      <c r="J109" s="175"/>
      <c r="K109" s="175"/>
      <c r="L109" s="38"/>
      <c r="M109" s="38"/>
      <c r="N109" s="38"/>
      <c r="P109" s="36"/>
      <c r="Q109" s="36"/>
      <c r="R109" s="36"/>
    </row>
    <row r="110" spans="2:18" ht="20.25" hidden="1" thickBot="1" x14ac:dyDescent="0.35">
      <c r="B110" s="161" t="s">
        <v>287</v>
      </c>
      <c r="C110" s="38"/>
      <c r="D110" s="175"/>
      <c r="E110" s="173"/>
      <c r="G110" s="175"/>
      <c r="H110" s="181"/>
      <c r="I110" s="175"/>
      <c r="J110" s="175"/>
      <c r="K110" s="175"/>
      <c r="L110" s="38"/>
      <c r="P110" s="36"/>
      <c r="Q110" s="36"/>
      <c r="R110" s="36"/>
    </row>
    <row r="111" spans="2:18" hidden="1" x14ac:dyDescent="0.25">
      <c r="C111" s="38"/>
      <c r="D111" s="175"/>
      <c r="E111" s="175"/>
      <c r="G111" s="175"/>
      <c r="H111" s="175"/>
      <c r="I111" s="175"/>
      <c r="J111" s="175"/>
      <c r="K111" s="175"/>
      <c r="L111" s="38"/>
      <c r="P111" s="36"/>
      <c r="Q111" s="36"/>
      <c r="R111" s="36"/>
    </row>
    <row r="112" spans="2:18" hidden="1" x14ac:dyDescent="0.25">
      <c r="B112" s="188" t="s">
        <v>13</v>
      </c>
      <c r="C112" s="38">
        <f>SUM(C96:C110)</f>
        <v>26735256</v>
      </c>
      <c r="D112" s="38">
        <f>SUM(D96:D110)</f>
        <v>407795</v>
      </c>
      <c r="E112" s="40">
        <f>SUM(E96:E110)</f>
        <v>699444.00000000012</v>
      </c>
      <c r="G112" s="175"/>
      <c r="H112" s="38"/>
      <c r="I112" s="175"/>
      <c r="J112" s="175"/>
      <c r="K112" s="175"/>
      <c r="L112" s="38"/>
      <c r="P112" s="36"/>
      <c r="Q112" s="36"/>
      <c r="R112" s="36"/>
    </row>
    <row r="113" spans="2:30" hidden="1" x14ac:dyDescent="0.25">
      <c r="C113" s="38"/>
      <c r="D113" s="185"/>
      <c r="E113" s="175"/>
      <c r="G113" s="175"/>
      <c r="H113" s="175"/>
      <c r="I113" s="175"/>
      <c r="J113" s="175"/>
      <c r="K113" s="175"/>
      <c r="L113" s="38"/>
      <c r="P113" s="36"/>
      <c r="Q113" s="36"/>
      <c r="R113" s="36"/>
      <c r="T113" s="57"/>
    </row>
    <row r="114" spans="2:30" hidden="1" x14ac:dyDescent="0.25">
      <c r="B114" s="188" t="s">
        <v>92</v>
      </c>
      <c r="C114" s="38">
        <v>3695000</v>
      </c>
      <c r="D114" s="175"/>
      <c r="E114" s="175"/>
      <c r="G114" s="175"/>
      <c r="H114" s="181"/>
      <c r="I114" s="175"/>
      <c r="J114" s="175"/>
      <c r="K114" s="175"/>
      <c r="L114" s="38"/>
      <c r="P114" s="36"/>
      <c r="Q114" s="36"/>
      <c r="R114" s="36"/>
      <c r="Y114" t="s">
        <v>423</v>
      </c>
      <c r="Z114" s="426">
        <v>408484</v>
      </c>
      <c r="AA114" s="426"/>
      <c r="AC114" s="426">
        <v>332378</v>
      </c>
      <c r="AD114" t="s">
        <v>425</v>
      </c>
    </row>
    <row r="115" spans="2:30" hidden="1" x14ac:dyDescent="0.25">
      <c r="C115" s="38"/>
      <c r="D115" s="175"/>
      <c r="E115" s="175"/>
      <c r="G115" s="175"/>
      <c r="H115" s="175"/>
      <c r="I115" s="175"/>
      <c r="J115" s="175"/>
      <c r="K115" s="175"/>
      <c r="L115" s="38"/>
      <c r="Y115" t="s">
        <v>423</v>
      </c>
      <c r="Z115" s="427">
        <v>109108</v>
      </c>
      <c r="AA115" s="427"/>
      <c r="AC115" s="426">
        <v>343167</v>
      </c>
    </row>
    <row r="116" spans="2:30" hidden="1" x14ac:dyDescent="0.25">
      <c r="C116" s="38"/>
      <c r="D116" s="185"/>
      <c r="E116" s="175"/>
      <c r="G116" s="175"/>
      <c r="H116" s="175"/>
      <c r="I116" s="175"/>
      <c r="J116" s="175"/>
      <c r="K116" s="175"/>
      <c r="L116" s="38"/>
      <c r="Y116" t="s">
        <v>424</v>
      </c>
      <c r="Z116" s="427">
        <v>230400</v>
      </c>
      <c r="AA116" s="427"/>
      <c r="AC116" s="426">
        <v>109108</v>
      </c>
    </row>
    <row r="117" spans="2:30" hidden="1" x14ac:dyDescent="0.25">
      <c r="B117" s="188" t="s">
        <v>288</v>
      </c>
      <c r="C117" s="38">
        <f>+C114+C112</f>
        <v>30430256</v>
      </c>
      <c r="D117" s="38">
        <f>+D114+D112</f>
        <v>407795</v>
      </c>
      <c r="E117" s="38">
        <f>+E114+E112</f>
        <v>699444.00000000012</v>
      </c>
      <c r="G117" s="175"/>
      <c r="H117" s="38"/>
      <c r="I117" s="175"/>
      <c r="J117" s="175"/>
      <c r="K117" s="175"/>
      <c r="L117" s="38"/>
      <c r="Z117" s="427">
        <f>SUM(Z114:Z116)</f>
        <v>747992</v>
      </c>
      <c r="AA117" s="427"/>
      <c r="AC117" s="427">
        <f>SUM(AC114:AC116)</f>
        <v>784653</v>
      </c>
    </row>
    <row r="118" spans="2:30" hidden="1" x14ac:dyDescent="0.25">
      <c r="H118" s="39"/>
      <c r="J118" s="175"/>
      <c r="K118" s="175"/>
      <c r="L118" s="38"/>
    </row>
    <row r="119" spans="2:30" hidden="1" x14ac:dyDescent="0.25">
      <c r="H119" s="39"/>
    </row>
    <row r="120" spans="2:30" hidden="1" x14ac:dyDescent="0.25">
      <c r="C120">
        <f>3.2*5</f>
        <v>16</v>
      </c>
      <c r="H120" s="39"/>
    </row>
    <row r="121" spans="2:30" x14ac:dyDescent="0.25">
      <c r="P121" s="446"/>
    </row>
    <row r="123" spans="2:30" x14ac:dyDescent="0.25">
      <c r="H123" s="38"/>
    </row>
    <row r="124" spans="2:30" x14ac:dyDescent="0.25">
      <c r="H124" s="39"/>
    </row>
    <row r="125" spans="2:30" x14ac:dyDescent="0.25">
      <c r="H125" s="39"/>
    </row>
  </sheetData>
  <mergeCells count="11">
    <mergeCell ref="M6:N6"/>
    <mergeCell ref="O6:P6"/>
    <mergeCell ref="Q6:R6"/>
    <mergeCell ref="U3:U4"/>
    <mergeCell ref="B4:B5"/>
    <mergeCell ref="C4:C5"/>
    <mergeCell ref="D4:D5"/>
    <mergeCell ref="E4:E5"/>
    <mergeCell ref="F4:G5"/>
    <mergeCell ref="H4:I5"/>
    <mergeCell ref="J4:K5"/>
  </mergeCells>
  <pageMargins left="0.70866141732283472" right="0.70866141732283472" top="0.74803149606299213" bottom="0.74803149606299213" header="0.31496062992125984" footer="0.31496062992125984"/>
  <pageSetup scale="2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7CD74-2D9F-474C-A7ED-66DF9795518F}">
  <sheetPr>
    <tabColor theme="3" tint="0.39997558519241921"/>
    <pageSetUpPr fitToPage="1"/>
  </sheetPr>
  <dimension ref="A2:AG125"/>
  <sheetViews>
    <sheetView showGridLines="0" topLeftCell="A4" zoomScale="95" zoomScaleNormal="85" workbookViewId="0">
      <selection activeCell="G35" sqref="G35"/>
    </sheetView>
  </sheetViews>
  <sheetFormatPr baseColWidth="10" defaultRowHeight="15" x14ac:dyDescent="0.25"/>
  <cols>
    <col min="1" max="1" width="3.140625" customWidth="1"/>
    <col min="2" max="2" width="47.28515625" customWidth="1"/>
    <col min="3" max="3" width="18.140625" customWidth="1"/>
    <col min="4" max="4" width="14.42578125" customWidth="1"/>
    <col min="5" max="5" width="12.5703125" customWidth="1"/>
    <col min="6" max="6" width="14.140625" bestFit="1" customWidth="1"/>
    <col min="7" max="7" width="12.7109375" customWidth="1"/>
    <col min="8" max="8" width="15.7109375" customWidth="1"/>
    <col min="9" max="9" width="11" bestFit="1" customWidth="1"/>
    <col min="10" max="10" width="12.7109375" hidden="1" customWidth="1"/>
    <col min="11" max="11" width="11" hidden="1" customWidth="1"/>
    <col min="12" max="12" width="5.85546875" style="40" customWidth="1"/>
    <col min="13" max="13" width="12.7109375" style="36" customWidth="1"/>
    <col min="14" max="14" width="16.42578125" style="20" bestFit="1" customWidth="1"/>
    <col min="15" max="15" width="16.28515625" style="36" customWidth="1"/>
    <col min="16" max="16" width="15.5703125" bestFit="1" customWidth="1"/>
    <col min="17" max="17" width="15.28515625" customWidth="1"/>
    <col min="18" max="18" width="17.28515625" customWidth="1"/>
    <col min="19" max="19" width="14.85546875" customWidth="1"/>
    <col min="20" max="20" width="14.140625" customWidth="1"/>
    <col min="21" max="21" width="17" customWidth="1"/>
    <col min="22" max="23" width="20.7109375" customWidth="1"/>
    <col min="24" max="24" width="18.5703125" customWidth="1"/>
    <col min="25" max="25" width="22.85546875" customWidth="1"/>
    <col min="26" max="27" width="18.5703125" customWidth="1"/>
    <col min="28" max="28" width="18.5703125" bestFit="1" customWidth="1"/>
    <col min="29" max="30" width="16.85546875" customWidth="1"/>
    <col min="32" max="32" width="14.5703125" customWidth="1"/>
    <col min="33" max="33" width="12.7109375" bestFit="1" customWidth="1"/>
    <col min="239" max="239" width="37.42578125" bestFit="1" customWidth="1"/>
    <col min="240" max="240" width="13.85546875" bestFit="1" customWidth="1"/>
    <col min="241" max="241" width="13.42578125" customWidth="1"/>
    <col min="242" max="242" width="7.85546875" bestFit="1" customWidth="1"/>
    <col min="243" max="243" width="13.28515625" customWidth="1"/>
    <col min="244" max="244" width="7.7109375" bestFit="1" customWidth="1"/>
    <col min="245" max="245" width="14.7109375" customWidth="1"/>
    <col min="246" max="246" width="7.85546875" bestFit="1" customWidth="1"/>
    <col min="495" max="495" width="37.42578125" bestFit="1" customWidth="1"/>
    <col min="496" max="496" width="13.85546875" bestFit="1" customWidth="1"/>
    <col min="497" max="497" width="13.42578125" customWidth="1"/>
    <col min="498" max="498" width="7.85546875" bestFit="1" customWidth="1"/>
    <col min="499" max="499" width="13.28515625" customWidth="1"/>
    <col min="500" max="500" width="7.7109375" bestFit="1" customWidth="1"/>
    <col min="501" max="501" width="14.7109375" customWidth="1"/>
    <col min="502" max="502" width="7.85546875" bestFit="1" customWidth="1"/>
    <col min="751" max="751" width="37.42578125" bestFit="1" customWidth="1"/>
    <col min="752" max="752" width="13.85546875" bestFit="1" customWidth="1"/>
    <col min="753" max="753" width="13.42578125" customWidth="1"/>
    <col min="754" max="754" width="7.85546875" bestFit="1" customWidth="1"/>
    <col min="755" max="755" width="13.28515625" customWidth="1"/>
    <col min="756" max="756" width="7.7109375" bestFit="1" customWidth="1"/>
    <col min="757" max="757" width="14.7109375" customWidth="1"/>
    <col min="758" max="758" width="7.85546875" bestFit="1" customWidth="1"/>
    <col min="1007" max="1007" width="37.42578125" bestFit="1" customWidth="1"/>
    <col min="1008" max="1008" width="13.85546875" bestFit="1" customWidth="1"/>
    <col min="1009" max="1009" width="13.42578125" customWidth="1"/>
    <col min="1010" max="1010" width="7.85546875" bestFit="1" customWidth="1"/>
    <col min="1011" max="1011" width="13.28515625" customWidth="1"/>
    <col min="1012" max="1012" width="7.7109375" bestFit="1" customWidth="1"/>
    <col min="1013" max="1013" width="14.7109375" customWidth="1"/>
    <col min="1014" max="1014" width="7.85546875" bestFit="1" customWidth="1"/>
    <col min="1263" max="1263" width="37.42578125" bestFit="1" customWidth="1"/>
    <col min="1264" max="1264" width="13.85546875" bestFit="1" customWidth="1"/>
    <col min="1265" max="1265" width="13.42578125" customWidth="1"/>
    <col min="1266" max="1266" width="7.85546875" bestFit="1" customWidth="1"/>
    <col min="1267" max="1267" width="13.28515625" customWidth="1"/>
    <col min="1268" max="1268" width="7.7109375" bestFit="1" customWidth="1"/>
    <col min="1269" max="1269" width="14.7109375" customWidth="1"/>
    <col min="1270" max="1270" width="7.85546875" bestFit="1" customWidth="1"/>
    <col min="1519" max="1519" width="37.42578125" bestFit="1" customWidth="1"/>
    <col min="1520" max="1520" width="13.85546875" bestFit="1" customWidth="1"/>
    <col min="1521" max="1521" width="13.42578125" customWidth="1"/>
    <col min="1522" max="1522" width="7.85546875" bestFit="1" customWidth="1"/>
    <col min="1523" max="1523" width="13.28515625" customWidth="1"/>
    <col min="1524" max="1524" width="7.7109375" bestFit="1" customWidth="1"/>
    <col min="1525" max="1525" width="14.7109375" customWidth="1"/>
    <col min="1526" max="1526" width="7.85546875" bestFit="1" customWidth="1"/>
    <col min="1775" max="1775" width="37.42578125" bestFit="1" customWidth="1"/>
    <col min="1776" max="1776" width="13.85546875" bestFit="1" customWidth="1"/>
    <col min="1777" max="1777" width="13.42578125" customWidth="1"/>
    <col min="1778" max="1778" width="7.85546875" bestFit="1" customWidth="1"/>
    <col min="1779" max="1779" width="13.28515625" customWidth="1"/>
    <col min="1780" max="1780" width="7.7109375" bestFit="1" customWidth="1"/>
    <col min="1781" max="1781" width="14.7109375" customWidth="1"/>
    <col min="1782" max="1782" width="7.85546875" bestFit="1" customWidth="1"/>
    <col min="2031" max="2031" width="37.42578125" bestFit="1" customWidth="1"/>
    <col min="2032" max="2032" width="13.85546875" bestFit="1" customWidth="1"/>
    <col min="2033" max="2033" width="13.42578125" customWidth="1"/>
    <col min="2034" max="2034" width="7.85546875" bestFit="1" customWidth="1"/>
    <col min="2035" max="2035" width="13.28515625" customWidth="1"/>
    <col min="2036" max="2036" width="7.7109375" bestFit="1" customWidth="1"/>
    <col min="2037" max="2037" width="14.7109375" customWidth="1"/>
    <col min="2038" max="2038" width="7.85546875" bestFit="1" customWidth="1"/>
    <col min="2287" max="2287" width="37.42578125" bestFit="1" customWidth="1"/>
    <col min="2288" max="2288" width="13.85546875" bestFit="1" customWidth="1"/>
    <col min="2289" max="2289" width="13.42578125" customWidth="1"/>
    <col min="2290" max="2290" width="7.85546875" bestFit="1" customWidth="1"/>
    <col min="2291" max="2291" width="13.28515625" customWidth="1"/>
    <col min="2292" max="2292" width="7.7109375" bestFit="1" customWidth="1"/>
    <col min="2293" max="2293" width="14.7109375" customWidth="1"/>
    <col min="2294" max="2294" width="7.85546875" bestFit="1" customWidth="1"/>
    <col min="2543" max="2543" width="37.42578125" bestFit="1" customWidth="1"/>
    <col min="2544" max="2544" width="13.85546875" bestFit="1" customWidth="1"/>
    <col min="2545" max="2545" width="13.42578125" customWidth="1"/>
    <col min="2546" max="2546" width="7.85546875" bestFit="1" customWidth="1"/>
    <col min="2547" max="2547" width="13.28515625" customWidth="1"/>
    <col min="2548" max="2548" width="7.7109375" bestFit="1" customWidth="1"/>
    <col min="2549" max="2549" width="14.7109375" customWidth="1"/>
    <col min="2550" max="2550" width="7.85546875" bestFit="1" customWidth="1"/>
    <col min="2799" max="2799" width="37.42578125" bestFit="1" customWidth="1"/>
    <col min="2800" max="2800" width="13.85546875" bestFit="1" customWidth="1"/>
    <col min="2801" max="2801" width="13.42578125" customWidth="1"/>
    <col min="2802" max="2802" width="7.85546875" bestFit="1" customWidth="1"/>
    <col min="2803" max="2803" width="13.28515625" customWidth="1"/>
    <col min="2804" max="2804" width="7.7109375" bestFit="1" customWidth="1"/>
    <col min="2805" max="2805" width="14.7109375" customWidth="1"/>
    <col min="2806" max="2806" width="7.85546875" bestFit="1" customWidth="1"/>
    <col min="3055" max="3055" width="37.42578125" bestFit="1" customWidth="1"/>
    <col min="3056" max="3056" width="13.85546875" bestFit="1" customWidth="1"/>
    <col min="3057" max="3057" width="13.42578125" customWidth="1"/>
    <col min="3058" max="3058" width="7.85546875" bestFit="1" customWidth="1"/>
    <col min="3059" max="3059" width="13.28515625" customWidth="1"/>
    <col min="3060" max="3060" width="7.7109375" bestFit="1" customWidth="1"/>
    <col min="3061" max="3061" width="14.7109375" customWidth="1"/>
    <col min="3062" max="3062" width="7.85546875" bestFit="1" customWidth="1"/>
    <col min="3311" max="3311" width="37.42578125" bestFit="1" customWidth="1"/>
    <col min="3312" max="3312" width="13.85546875" bestFit="1" customWidth="1"/>
    <col min="3313" max="3313" width="13.42578125" customWidth="1"/>
    <col min="3314" max="3314" width="7.85546875" bestFit="1" customWidth="1"/>
    <col min="3315" max="3315" width="13.28515625" customWidth="1"/>
    <col min="3316" max="3316" width="7.7109375" bestFit="1" customWidth="1"/>
    <col min="3317" max="3317" width="14.7109375" customWidth="1"/>
    <col min="3318" max="3318" width="7.85546875" bestFit="1" customWidth="1"/>
    <col min="3567" max="3567" width="37.42578125" bestFit="1" customWidth="1"/>
    <col min="3568" max="3568" width="13.85546875" bestFit="1" customWidth="1"/>
    <col min="3569" max="3569" width="13.42578125" customWidth="1"/>
    <col min="3570" max="3570" width="7.85546875" bestFit="1" customWidth="1"/>
    <col min="3571" max="3571" width="13.28515625" customWidth="1"/>
    <col min="3572" max="3572" width="7.7109375" bestFit="1" customWidth="1"/>
    <col min="3573" max="3573" width="14.7109375" customWidth="1"/>
    <col min="3574" max="3574" width="7.85546875" bestFit="1" customWidth="1"/>
    <col min="3823" max="3823" width="37.42578125" bestFit="1" customWidth="1"/>
    <col min="3824" max="3824" width="13.85546875" bestFit="1" customWidth="1"/>
    <col min="3825" max="3825" width="13.42578125" customWidth="1"/>
    <col min="3826" max="3826" width="7.85546875" bestFit="1" customWidth="1"/>
    <col min="3827" max="3827" width="13.28515625" customWidth="1"/>
    <col min="3828" max="3828" width="7.7109375" bestFit="1" customWidth="1"/>
    <col min="3829" max="3829" width="14.7109375" customWidth="1"/>
    <col min="3830" max="3830" width="7.85546875" bestFit="1" customWidth="1"/>
    <col min="4079" max="4079" width="37.42578125" bestFit="1" customWidth="1"/>
    <col min="4080" max="4080" width="13.85546875" bestFit="1" customWidth="1"/>
    <col min="4081" max="4081" width="13.42578125" customWidth="1"/>
    <col min="4082" max="4082" width="7.85546875" bestFit="1" customWidth="1"/>
    <col min="4083" max="4083" width="13.28515625" customWidth="1"/>
    <col min="4084" max="4084" width="7.7109375" bestFit="1" customWidth="1"/>
    <col min="4085" max="4085" width="14.7109375" customWidth="1"/>
    <col min="4086" max="4086" width="7.85546875" bestFit="1" customWidth="1"/>
    <col min="4335" max="4335" width="37.42578125" bestFit="1" customWidth="1"/>
    <col min="4336" max="4336" width="13.85546875" bestFit="1" customWidth="1"/>
    <col min="4337" max="4337" width="13.42578125" customWidth="1"/>
    <col min="4338" max="4338" width="7.85546875" bestFit="1" customWidth="1"/>
    <col min="4339" max="4339" width="13.28515625" customWidth="1"/>
    <col min="4340" max="4340" width="7.7109375" bestFit="1" customWidth="1"/>
    <col min="4341" max="4341" width="14.7109375" customWidth="1"/>
    <col min="4342" max="4342" width="7.85546875" bestFit="1" customWidth="1"/>
    <col min="4591" max="4591" width="37.42578125" bestFit="1" customWidth="1"/>
    <col min="4592" max="4592" width="13.85546875" bestFit="1" customWidth="1"/>
    <col min="4593" max="4593" width="13.42578125" customWidth="1"/>
    <col min="4594" max="4594" width="7.85546875" bestFit="1" customWidth="1"/>
    <col min="4595" max="4595" width="13.28515625" customWidth="1"/>
    <col min="4596" max="4596" width="7.7109375" bestFit="1" customWidth="1"/>
    <col min="4597" max="4597" width="14.7109375" customWidth="1"/>
    <col min="4598" max="4598" width="7.85546875" bestFit="1" customWidth="1"/>
    <col min="4847" max="4847" width="37.42578125" bestFit="1" customWidth="1"/>
    <col min="4848" max="4848" width="13.85546875" bestFit="1" customWidth="1"/>
    <col min="4849" max="4849" width="13.42578125" customWidth="1"/>
    <col min="4850" max="4850" width="7.85546875" bestFit="1" customWidth="1"/>
    <col min="4851" max="4851" width="13.28515625" customWidth="1"/>
    <col min="4852" max="4852" width="7.7109375" bestFit="1" customWidth="1"/>
    <col min="4853" max="4853" width="14.7109375" customWidth="1"/>
    <col min="4854" max="4854" width="7.85546875" bestFit="1" customWidth="1"/>
    <col min="5103" max="5103" width="37.42578125" bestFit="1" customWidth="1"/>
    <col min="5104" max="5104" width="13.85546875" bestFit="1" customWidth="1"/>
    <col min="5105" max="5105" width="13.42578125" customWidth="1"/>
    <col min="5106" max="5106" width="7.85546875" bestFit="1" customWidth="1"/>
    <col min="5107" max="5107" width="13.28515625" customWidth="1"/>
    <col min="5108" max="5108" width="7.7109375" bestFit="1" customWidth="1"/>
    <col min="5109" max="5109" width="14.7109375" customWidth="1"/>
    <col min="5110" max="5110" width="7.85546875" bestFit="1" customWidth="1"/>
    <col min="5359" max="5359" width="37.42578125" bestFit="1" customWidth="1"/>
    <col min="5360" max="5360" width="13.85546875" bestFit="1" customWidth="1"/>
    <col min="5361" max="5361" width="13.42578125" customWidth="1"/>
    <col min="5362" max="5362" width="7.85546875" bestFit="1" customWidth="1"/>
    <col min="5363" max="5363" width="13.28515625" customWidth="1"/>
    <col min="5364" max="5364" width="7.7109375" bestFit="1" customWidth="1"/>
    <col min="5365" max="5365" width="14.7109375" customWidth="1"/>
    <col min="5366" max="5366" width="7.85546875" bestFit="1" customWidth="1"/>
    <col min="5615" max="5615" width="37.42578125" bestFit="1" customWidth="1"/>
    <col min="5616" max="5616" width="13.85546875" bestFit="1" customWidth="1"/>
    <col min="5617" max="5617" width="13.42578125" customWidth="1"/>
    <col min="5618" max="5618" width="7.85546875" bestFit="1" customWidth="1"/>
    <col min="5619" max="5619" width="13.28515625" customWidth="1"/>
    <col min="5620" max="5620" width="7.7109375" bestFit="1" customWidth="1"/>
    <col min="5621" max="5621" width="14.7109375" customWidth="1"/>
    <col min="5622" max="5622" width="7.85546875" bestFit="1" customWidth="1"/>
    <col min="5871" max="5871" width="37.42578125" bestFit="1" customWidth="1"/>
    <col min="5872" max="5872" width="13.85546875" bestFit="1" customWidth="1"/>
    <col min="5873" max="5873" width="13.42578125" customWidth="1"/>
    <col min="5874" max="5874" width="7.85546875" bestFit="1" customWidth="1"/>
    <col min="5875" max="5875" width="13.28515625" customWidth="1"/>
    <col min="5876" max="5876" width="7.7109375" bestFit="1" customWidth="1"/>
    <col min="5877" max="5877" width="14.7109375" customWidth="1"/>
    <col min="5878" max="5878" width="7.85546875" bestFit="1" customWidth="1"/>
    <col min="6127" max="6127" width="37.42578125" bestFit="1" customWidth="1"/>
    <col min="6128" max="6128" width="13.85546875" bestFit="1" customWidth="1"/>
    <col min="6129" max="6129" width="13.42578125" customWidth="1"/>
    <col min="6130" max="6130" width="7.85546875" bestFit="1" customWidth="1"/>
    <col min="6131" max="6131" width="13.28515625" customWidth="1"/>
    <col min="6132" max="6132" width="7.7109375" bestFit="1" customWidth="1"/>
    <col min="6133" max="6133" width="14.7109375" customWidth="1"/>
    <col min="6134" max="6134" width="7.85546875" bestFit="1" customWidth="1"/>
    <col min="6383" max="6383" width="37.42578125" bestFit="1" customWidth="1"/>
    <col min="6384" max="6384" width="13.85546875" bestFit="1" customWidth="1"/>
    <col min="6385" max="6385" width="13.42578125" customWidth="1"/>
    <col min="6386" max="6386" width="7.85546875" bestFit="1" customWidth="1"/>
    <col min="6387" max="6387" width="13.28515625" customWidth="1"/>
    <col min="6388" max="6388" width="7.7109375" bestFit="1" customWidth="1"/>
    <col min="6389" max="6389" width="14.7109375" customWidth="1"/>
    <col min="6390" max="6390" width="7.85546875" bestFit="1" customWidth="1"/>
    <col min="6639" max="6639" width="37.42578125" bestFit="1" customWidth="1"/>
    <col min="6640" max="6640" width="13.85546875" bestFit="1" customWidth="1"/>
    <col min="6641" max="6641" width="13.42578125" customWidth="1"/>
    <col min="6642" max="6642" width="7.85546875" bestFit="1" customWidth="1"/>
    <col min="6643" max="6643" width="13.28515625" customWidth="1"/>
    <col min="6644" max="6644" width="7.7109375" bestFit="1" customWidth="1"/>
    <col min="6645" max="6645" width="14.7109375" customWidth="1"/>
    <col min="6646" max="6646" width="7.85546875" bestFit="1" customWidth="1"/>
    <col min="6895" max="6895" width="37.42578125" bestFit="1" customWidth="1"/>
    <col min="6896" max="6896" width="13.85546875" bestFit="1" customWidth="1"/>
    <col min="6897" max="6897" width="13.42578125" customWidth="1"/>
    <col min="6898" max="6898" width="7.85546875" bestFit="1" customWidth="1"/>
    <col min="6899" max="6899" width="13.28515625" customWidth="1"/>
    <col min="6900" max="6900" width="7.7109375" bestFit="1" customWidth="1"/>
    <col min="6901" max="6901" width="14.7109375" customWidth="1"/>
    <col min="6902" max="6902" width="7.85546875" bestFit="1" customWidth="1"/>
    <col min="7151" max="7151" width="37.42578125" bestFit="1" customWidth="1"/>
    <col min="7152" max="7152" width="13.85546875" bestFit="1" customWidth="1"/>
    <col min="7153" max="7153" width="13.42578125" customWidth="1"/>
    <col min="7154" max="7154" width="7.85546875" bestFit="1" customWidth="1"/>
    <col min="7155" max="7155" width="13.28515625" customWidth="1"/>
    <col min="7156" max="7156" width="7.7109375" bestFit="1" customWidth="1"/>
    <col min="7157" max="7157" width="14.7109375" customWidth="1"/>
    <col min="7158" max="7158" width="7.85546875" bestFit="1" customWidth="1"/>
    <col min="7407" max="7407" width="37.42578125" bestFit="1" customWidth="1"/>
    <col min="7408" max="7408" width="13.85546875" bestFit="1" customWidth="1"/>
    <col min="7409" max="7409" width="13.42578125" customWidth="1"/>
    <col min="7410" max="7410" width="7.85546875" bestFit="1" customWidth="1"/>
    <col min="7411" max="7411" width="13.28515625" customWidth="1"/>
    <col min="7412" max="7412" width="7.7109375" bestFit="1" customWidth="1"/>
    <col min="7413" max="7413" width="14.7109375" customWidth="1"/>
    <col min="7414" max="7414" width="7.85546875" bestFit="1" customWidth="1"/>
    <col min="7663" max="7663" width="37.42578125" bestFit="1" customWidth="1"/>
    <col min="7664" max="7664" width="13.85546875" bestFit="1" customWidth="1"/>
    <col min="7665" max="7665" width="13.42578125" customWidth="1"/>
    <col min="7666" max="7666" width="7.85546875" bestFit="1" customWidth="1"/>
    <col min="7667" max="7667" width="13.28515625" customWidth="1"/>
    <col min="7668" max="7668" width="7.7109375" bestFit="1" customWidth="1"/>
    <col min="7669" max="7669" width="14.7109375" customWidth="1"/>
    <col min="7670" max="7670" width="7.85546875" bestFit="1" customWidth="1"/>
    <col min="7919" max="7919" width="37.42578125" bestFit="1" customWidth="1"/>
    <col min="7920" max="7920" width="13.85546875" bestFit="1" customWidth="1"/>
    <col min="7921" max="7921" width="13.42578125" customWidth="1"/>
    <col min="7922" max="7922" width="7.85546875" bestFit="1" customWidth="1"/>
    <col min="7923" max="7923" width="13.28515625" customWidth="1"/>
    <col min="7924" max="7924" width="7.7109375" bestFit="1" customWidth="1"/>
    <col min="7925" max="7925" width="14.7109375" customWidth="1"/>
    <col min="7926" max="7926" width="7.85546875" bestFit="1" customWidth="1"/>
    <col min="8175" max="8175" width="37.42578125" bestFit="1" customWidth="1"/>
    <col min="8176" max="8176" width="13.85546875" bestFit="1" customWidth="1"/>
    <col min="8177" max="8177" width="13.42578125" customWidth="1"/>
    <col min="8178" max="8178" width="7.85546875" bestFit="1" customWidth="1"/>
    <col min="8179" max="8179" width="13.28515625" customWidth="1"/>
    <col min="8180" max="8180" width="7.7109375" bestFit="1" customWidth="1"/>
    <col min="8181" max="8181" width="14.7109375" customWidth="1"/>
    <col min="8182" max="8182" width="7.85546875" bestFit="1" customWidth="1"/>
    <col min="8431" max="8431" width="37.42578125" bestFit="1" customWidth="1"/>
    <col min="8432" max="8432" width="13.85546875" bestFit="1" customWidth="1"/>
    <col min="8433" max="8433" width="13.42578125" customWidth="1"/>
    <col min="8434" max="8434" width="7.85546875" bestFit="1" customWidth="1"/>
    <col min="8435" max="8435" width="13.28515625" customWidth="1"/>
    <col min="8436" max="8436" width="7.7109375" bestFit="1" customWidth="1"/>
    <col min="8437" max="8437" width="14.7109375" customWidth="1"/>
    <col min="8438" max="8438" width="7.85546875" bestFit="1" customWidth="1"/>
    <col min="8687" max="8687" width="37.42578125" bestFit="1" customWidth="1"/>
    <col min="8688" max="8688" width="13.85546875" bestFit="1" customWidth="1"/>
    <col min="8689" max="8689" width="13.42578125" customWidth="1"/>
    <col min="8690" max="8690" width="7.85546875" bestFit="1" customWidth="1"/>
    <col min="8691" max="8691" width="13.28515625" customWidth="1"/>
    <col min="8692" max="8692" width="7.7109375" bestFit="1" customWidth="1"/>
    <col min="8693" max="8693" width="14.7109375" customWidth="1"/>
    <col min="8694" max="8694" width="7.85546875" bestFit="1" customWidth="1"/>
    <col min="8943" max="8943" width="37.42578125" bestFit="1" customWidth="1"/>
    <col min="8944" max="8944" width="13.85546875" bestFit="1" customWidth="1"/>
    <col min="8945" max="8945" width="13.42578125" customWidth="1"/>
    <col min="8946" max="8946" width="7.85546875" bestFit="1" customWidth="1"/>
    <col min="8947" max="8947" width="13.28515625" customWidth="1"/>
    <col min="8948" max="8948" width="7.7109375" bestFit="1" customWidth="1"/>
    <col min="8949" max="8949" width="14.7109375" customWidth="1"/>
    <col min="8950" max="8950" width="7.85546875" bestFit="1" customWidth="1"/>
    <col min="9199" max="9199" width="37.42578125" bestFit="1" customWidth="1"/>
    <col min="9200" max="9200" width="13.85546875" bestFit="1" customWidth="1"/>
    <col min="9201" max="9201" width="13.42578125" customWidth="1"/>
    <col min="9202" max="9202" width="7.85546875" bestFit="1" customWidth="1"/>
    <col min="9203" max="9203" width="13.28515625" customWidth="1"/>
    <col min="9204" max="9204" width="7.7109375" bestFit="1" customWidth="1"/>
    <col min="9205" max="9205" width="14.7109375" customWidth="1"/>
    <col min="9206" max="9206" width="7.85546875" bestFit="1" customWidth="1"/>
    <col min="9455" max="9455" width="37.42578125" bestFit="1" customWidth="1"/>
    <col min="9456" max="9456" width="13.85546875" bestFit="1" customWidth="1"/>
    <col min="9457" max="9457" width="13.42578125" customWidth="1"/>
    <col min="9458" max="9458" width="7.85546875" bestFit="1" customWidth="1"/>
    <col min="9459" max="9459" width="13.28515625" customWidth="1"/>
    <col min="9460" max="9460" width="7.7109375" bestFit="1" customWidth="1"/>
    <col min="9461" max="9461" width="14.7109375" customWidth="1"/>
    <col min="9462" max="9462" width="7.85546875" bestFit="1" customWidth="1"/>
    <col min="9711" max="9711" width="37.42578125" bestFit="1" customWidth="1"/>
    <col min="9712" max="9712" width="13.85546875" bestFit="1" customWidth="1"/>
    <col min="9713" max="9713" width="13.42578125" customWidth="1"/>
    <col min="9714" max="9714" width="7.85546875" bestFit="1" customWidth="1"/>
    <col min="9715" max="9715" width="13.28515625" customWidth="1"/>
    <col min="9716" max="9716" width="7.7109375" bestFit="1" customWidth="1"/>
    <col min="9717" max="9717" width="14.7109375" customWidth="1"/>
    <col min="9718" max="9718" width="7.85546875" bestFit="1" customWidth="1"/>
    <col min="9967" max="9967" width="37.42578125" bestFit="1" customWidth="1"/>
    <col min="9968" max="9968" width="13.85546875" bestFit="1" customWidth="1"/>
    <col min="9969" max="9969" width="13.42578125" customWidth="1"/>
    <col min="9970" max="9970" width="7.85546875" bestFit="1" customWidth="1"/>
    <col min="9971" max="9971" width="13.28515625" customWidth="1"/>
    <col min="9972" max="9972" width="7.7109375" bestFit="1" customWidth="1"/>
    <col min="9973" max="9973" width="14.7109375" customWidth="1"/>
    <col min="9974" max="9974" width="7.85546875" bestFit="1" customWidth="1"/>
    <col min="10223" max="10223" width="37.42578125" bestFit="1" customWidth="1"/>
    <col min="10224" max="10224" width="13.85546875" bestFit="1" customWidth="1"/>
    <col min="10225" max="10225" width="13.42578125" customWidth="1"/>
    <col min="10226" max="10226" width="7.85546875" bestFit="1" customWidth="1"/>
    <col min="10227" max="10227" width="13.28515625" customWidth="1"/>
    <col min="10228" max="10228" width="7.7109375" bestFit="1" customWidth="1"/>
    <col min="10229" max="10229" width="14.7109375" customWidth="1"/>
    <col min="10230" max="10230" width="7.85546875" bestFit="1" customWidth="1"/>
    <col min="10479" max="10479" width="37.42578125" bestFit="1" customWidth="1"/>
    <col min="10480" max="10480" width="13.85546875" bestFit="1" customWidth="1"/>
    <col min="10481" max="10481" width="13.42578125" customWidth="1"/>
    <col min="10482" max="10482" width="7.85546875" bestFit="1" customWidth="1"/>
    <col min="10483" max="10483" width="13.28515625" customWidth="1"/>
    <col min="10484" max="10484" width="7.7109375" bestFit="1" customWidth="1"/>
    <col min="10485" max="10485" width="14.7109375" customWidth="1"/>
    <col min="10486" max="10486" width="7.85546875" bestFit="1" customWidth="1"/>
    <col min="10735" max="10735" width="37.42578125" bestFit="1" customWidth="1"/>
    <col min="10736" max="10736" width="13.85546875" bestFit="1" customWidth="1"/>
    <col min="10737" max="10737" width="13.42578125" customWidth="1"/>
    <col min="10738" max="10738" width="7.85546875" bestFit="1" customWidth="1"/>
    <col min="10739" max="10739" width="13.28515625" customWidth="1"/>
    <col min="10740" max="10740" width="7.7109375" bestFit="1" customWidth="1"/>
    <col min="10741" max="10741" width="14.7109375" customWidth="1"/>
    <col min="10742" max="10742" width="7.85546875" bestFit="1" customWidth="1"/>
    <col min="10991" max="10991" width="37.42578125" bestFit="1" customWidth="1"/>
    <col min="10992" max="10992" width="13.85546875" bestFit="1" customWidth="1"/>
    <col min="10993" max="10993" width="13.42578125" customWidth="1"/>
    <col min="10994" max="10994" width="7.85546875" bestFit="1" customWidth="1"/>
    <col min="10995" max="10995" width="13.28515625" customWidth="1"/>
    <col min="10996" max="10996" width="7.7109375" bestFit="1" customWidth="1"/>
    <col min="10997" max="10997" width="14.7109375" customWidth="1"/>
    <col min="10998" max="10998" width="7.85546875" bestFit="1" customWidth="1"/>
    <col min="11247" max="11247" width="37.42578125" bestFit="1" customWidth="1"/>
    <col min="11248" max="11248" width="13.85546875" bestFit="1" customWidth="1"/>
    <col min="11249" max="11249" width="13.42578125" customWidth="1"/>
    <col min="11250" max="11250" width="7.85546875" bestFit="1" customWidth="1"/>
    <col min="11251" max="11251" width="13.28515625" customWidth="1"/>
    <col min="11252" max="11252" width="7.7109375" bestFit="1" customWidth="1"/>
    <col min="11253" max="11253" width="14.7109375" customWidth="1"/>
    <col min="11254" max="11254" width="7.85546875" bestFit="1" customWidth="1"/>
    <col min="11503" max="11503" width="37.42578125" bestFit="1" customWidth="1"/>
    <col min="11504" max="11504" width="13.85546875" bestFit="1" customWidth="1"/>
    <col min="11505" max="11505" width="13.42578125" customWidth="1"/>
    <col min="11506" max="11506" width="7.85546875" bestFit="1" customWidth="1"/>
    <col min="11507" max="11507" width="13.28515625" customWidth="1"/>
    <col min="11508" max="11508" width="7.7109375" bestFit="1" customWidth="1"/>
    <col min="11509" max="11509" width="14.7109375" customWidth="1"/>
    <col min="11510" max="11510" width="7.85546875" bestFit="1" customWidth="1"/>
    <col min="11759" max="11759" width="37.42578125" bestFit="1" customWidth="1"/>
    <col min="11760" max="11760" width="13.85546875" bestFit="1" customWidth="1"/>
    <col min="11761" max="11761" width="13.42578125" customWidth="1"/>
    <col min="11762" max="11762" width="7.85546875" bestFit="1" customWidth="1"/>
    <col min="11763" max="11763" width="13.28515625" customWidth="1"/>
    <col min="11764" max="11764" width="7.7109375" bestFit="1" customWidth="1"/>
    <col min="11765" max="11765" width="14.7109375" customWidth="1"/>
    <col min="11766" max="11766" width="7.85546875" bestFit="1" customWidth="1"/>
    <col min="12015" max="12015" width="37.42578125" bestFit="1" customWidth="1"/>
    <col min="12016" max="12016" width="13.85546875" bestFit="1" customWidth="1"/>
    <col min="12017" max="12017" width="13.42578125" customWidth="1"/>
    <col min="12018" max="12018" width="7.85546875" bestFit="1" customWidth="1"/>
    <col min="12019" max="12019" width="13.28515625" customWidth="1"/>
    <col min="12020" max="12020" width="7.7109375" bestFit="1" customWidth="1"/>
    <col min="12021" max="12021" width="14.7109375" customWidth="1"/>
    <col min="12022" max="12022" width="7.85546875" bestFit="1" customWidth="1"/>
    <col min="12271" max="12271" width="37.42578125" bestFit="1" customWidth="1"/>
    <col min="12272" max="12272" width="13.85546875" bestFit="1" customWidth="1"/>
    <col min="12273" max="12273" width="13.42578125" customWidth="1"/>
    <col min="12274" max="12274" width="7.85546875" bestFit="1" customWidth="1"/>
    <col min="12275" max="12275" width="13.28515625" customWidth="1"/>
    <col min="12276" max="12276" width="7.7109375" bestFit="1" customWidth="1"/>
    <col min="12277" max="12277" width="14.7109375" customWidth="1"/>
    <col min="12278" max="12278" width="7.85546875" bestFit="1" customWidth="1"/>
    <col min="12527" max="12527" width="37.42578125" bestFit="1" customWidth="1"/>
    <col min="12528" max="12528" width="13.85546875" bestFit="1" customWidth="1"/>
    <col min="12529" max="12529" width="13.42578125" customWidth="1"/>
    <col min="12530" max="12530" width="7.85546875" bestFit="1" customWidth="1"/>
    <col min="12531" max="12531" width="13.28515625" customWidth="1"/>
    <col min="12532" max="12532" width="7.7109375" bestFit="1" customWidth="1"/>
    <col min="12533" max="12533" width="14.7109375" customWidth="1"/>
    <col min="12534" max="12534" width="7.85546875" bestFit="1" customWidth="1"/>
    <col min="12783" max="12783" width="37.42578125" bestFit="1" customWidth="1"/>
    <col min="12784" max="12784" width="13.85546875" bestFit="1" customWidth="1"/>
    <col min="12785" max="12785" width="13.42578125" customWidth="1"/>
    <col min="12786" max="12786" width="7.85546875" bestFit="1" customWidth="1"/>
    <col min="12787" max="12787" width="13.28515625" customWidth="1"/>
    <col min="12788" max="12788" width="7.7109375" bestFit="1" customWidth="1"/>
    <col min="12789" max="12789" width="14.7109375" customWidth="1"/>
    <col min="12790" max="12790" width="7.85546875" bestFit="1" customWidth="1"/>
    <col min="13039" max="13039" width="37.42578125" bestFit="1" customWidth="1"/>
    <col min="13040" max="13040" width="13.85546875" bestFit="1" customWidth="1"/>
    <col min="13041" max="13041" width="13.42578125" customWidth="1"/>
    <col min="13042" max="13042" width="7.85546875" bestFit="1" customWidth="1"/>
    <col min="13043" max="13043" width="13.28515625" customWidth="1"/>
    <col min="13044" max="13044" width="7.7109375" bestFit="1" customWidth="1"/>
    <col min="13045" max="13045" width="14.7109375" customWidth="1"/>
    <col min="13046" max="13046" width="7.85546875" bestFit="1" customWidth="1"/>
    <col min="13295" max="13295" width="37.42578125" bestFit="1" customWidth="1"/>
    <col min="13296" max="13296" width="13.85546875" bestFit="1" customWidth="1"/>
    <col min="13297" max="13297" width="13.42578125" customWidth="1"/>
    <col min="13298" max="13298" width="7.85546875" bestFit="1" customWidth="1"/>
    <col min="13299" max="13299" width="13.28515625" customWidth="1"/>
    <col min="13300" max="13300" width="7.7109375" bestFit="1" customWidth="1"/>
    <col min="13301" max="13301" width="14.7109375" customWidth="1"/>
    <col min="13302" max="13302" width="7.85546875" bestFit="1" customWidth="1"/>
    <col min="13551" max="13551" width="37.42578125" bestFit="1" customWidth="1"/>
    <col min="13552" max="13552" width="13.85546875" bestFit="1" customWidth="1"/>
    <col min="13553" max="13553" width="13.42578125" customWidth="1"/>
    <col min="13554" max="13554" width="7.85546875" bestFit="1" customWidth="1"/>
    <col min="13555" max="13555" width="13.28515625" customWidth="1"/>
    <col min="13556" max="13556" width="7.7109375" bestFit="1" customWidth="1"/>
    <col min="13557" max="13557" width="14.7109375" customWidth="1"/>
    <col min="13558" max="13558" width="7.85546875" bestFit="1" customWidth="1"/>
    <col min="13807" max="13807" width="37.42578125" bestFit="1" customWidth="1"/>
    <col min="13808" max="13808" width="13.85546875" bestFit="1" customWidth="1"/>
    <col min="13809" max="13809" width="13.42578125" customWidth="1"/>
    <col min="13810" max="13810" width="7.85546875" bestFit="1" customWidth="1"/>
    <col min="13811" max="13811" width="13.28515625" customWidth="1"/>
    <col min="13812" max="13812" width="7.7109375" bestFit="1" customWidth="1"/>
    <col min="13813" max="13813" width="14.7109375" customWidth="1"/>
    <col min="13814" max="13814" width="7.85546875" bestFit="1" customWidth="1"/>
    <col min="14063" max="14063" width="37.42578125" bestFit="1" customWidth="1"/>
    <col min="14064" max="14064" width="13.85546875" bestFit="1" customWidth="1"/>
    <col min="14065" max="14065" width="13.42578125" customWidth="1"/>
    <col min="14066" max="14066" width="7.85546875" bestFit="1" customWidth="1"/>
    <col min="14067" max="14067" width="13.28515625" customWidth="1"/>
    <col min="14068" max="14068" width="7.7109375" bestFit="1" customWidth="1"/>
    <col min="14069" max="14069" width="14.7109375" customWidth="1"/>
    <col min="14070" max="14070" width="7.85546875" bestFit="1" customWidth="1"/>
    <col min="14319" max="14319" width="37.42578125" bestFit="1" customWidth="1"/>
    <col min="14320" max="14320" width="13.85546875" bestFit="1" customWidth="1"/>
    <col min="14321" max="14321" width="13.42578125" customWidth="1"/>
    <col min="14322" max="14322" width="7.85546875" bestFit="1" customWidth="1"/>
    <col min="14323" max="14323" width="13.28515625" customWidth="1"/>
    <col min="14324" max="14324" width="7.7109375" bestFit="1" customWidth="1"/>
    <col min="14325" max="14325" width="14.7109375" customWidth="1"/>
    <col min="14326" max="14326" width="7.85546875" bestFit="1" customWidth="1"/>
    <col min="14575" max="14575" width="37.42578125" bestFit="1" customWidth="1"/>
    <col min="14576" max="14576" width="13.85546875" bestFit="1" customWidth="1"/>
    <col min="14577" max="14577" width="13.42578125" customWidth="1"/>
    <col min="14578" max="14578" width="7.85546875" bestFit="1" customWidth="1"/>
    <col min="14579" max="14579" width="13.28515625" customWidth="1"/>
    <col min="14580" max="14580" width="7.7109375" bestFit="1" customWidth="1"/>
    <col min="14581" max="14581" width="14.7109375" customWidth="1"/>
    <col min="14582" max="14582" width="7.85546875" bestFit="1" customWidth="1"/>
    <col min="14831" max="14831" width="37.42578125" bestFit="1" customWidth="1"/>
    <col min="14832" max="14832" width="13.85546875" bestFit="1" customWidth="1"/>
    <col min="14833" max="14833" width="13.42578125" customWidth="1"/>
    <col min="14834" max="14834" width="7.85546875" bestFit="1" customWidth="1"/>
    <col min="14835" max="14835" width="13.28515625" customWidth="1"/>
    <col min="14836" max="14836" width="7.7109375" bestFit="1" customWidth="1"/>
    <col min="14837" max="14837" width="14.7109375" customWidth="1"/>
    <col min="14838" max="14838" width="7.85546875" bestFit="1" customWidth="1"/>
    <col min="15087" max="15087" width="37.42578125" bestFit="1" customWidth="1"/>
    <col min="15088" max="15088" width="13.85546875" bestFit="1" customWidth="1"/>
    <col min="15089" max="15089" width="13.42578125" customWidth="1"/>
    <col min="15090" max="15090" width="7.85546875" bestFit="1" customWidth="1"/>
    <col min="15091" max="15091" width="13.28515625" customWidth="1"/>
    <col min="15092" max="15092" width="7.7109375" bestFit="1" customWidth="1"/>
    <col min="15093" max="15093" width="14.7109375" customWidth="1"/>
    <col min="15094" max="15094" width="7.85546875" bestFit="1" customWidth="1"/>
    <col min="15343" max="15343" width="37.42578125" bestFit="1" customWidth="1"/>
    <col min="15344" max="15344" width="13.85546875" bestFit="1" customWidth="1"/>
    <col min="15345" max="15345" width="13.42578125" customWidth="1"/>
    <col min="15346" max="15346" width="7.85546875" bestFit="1" customWidth="1"/>
    <col min="15347" max="15347" width="13.28515625" customWidth="1"/>
    <col min="15348" max="15348" width="7.7109375" bestFit="1" customWidth="1"/>
    <col min="15349" max="15349" width="14.7109375" customWidth="1"/>
    <col min="15350" max="15350" width="7.85546875" bestFit="1" customWidth="1"/>
    <col min="15599" max="15599" width="37.42578125" bestFit="1" customWidth="1"/>
    <col min="15600" max="15600" width="13.85546875" bestFit="1" customWidth="1"/>
    <col min="15601" max="15601" width="13.42578125" customWidth="1"/>
    <col min="15602" max="15602" width="7.85546875" bestFit="1" customWidth="1"/>
    <col min="15603" max="15603" width="13.28515625" customWidth="1"/>
    <col min="15604" max="15604" width="7.7109375" bestFit="1" customWidth="1"/>
    <col min="15605" max="15605" width="14.7109375" customWidth="1"/>
    <col min="15606" max="15606" width="7.85546875" bestFit="1" customWidth="1"/>
    <col min="15855" max="15855" width="37.42578125" bestFit="1" customWidth="1"/>
    <col min="15856" max="15856" width="13.85546875" bestFit="1" customWidth="1"/>
    <col min="15857" max="15857" width="13.42578125" customWidth="1"/>
    <col min="15858" max="15858" width="7.85546875" bestFit="1" customWidth="1"/>
    <col min="15859" max="15859" width="13.28515625" customWidth="1"/>
    <col min="15860" max="15860" width="7.7109375" bestFit="1" customWidth="1"/>
    <col min="15861" max="15861" width="14.7109375" customWidth="1"/>
    <col min="15862" max="15862" width="7.85546875" bestFit="1" customWidth="1"/>
    <col min="16111" max="16111" width="37.42578125" bestFit="1" customWidth="1"/>
    <col min="16112" max="16112" width="13.85546875" bestFit="1" customWidth="1"/>
    <col min="16113" max="16113" width="13.42578125" customWidth="1"/>
    <col min="16114" max="16114" width="7.85546875" bestFit="1" customWidth="1"/>
    <col min="16115" max="16115" width="13.28515625" customWidth="1"/>
    <col min="16116" max="16116" width="7.7109375" bestFit="1" customWidth="1"/>
    <col min="16117" max="16117" width="14.7109375" customWidth="1"/>
    <col min="16118" max="16118" width="7.85546875" bestFit="1" customWidth="1"/>
  </cols>
  <sheetData>
    <row r="2" spans="1:33" x14ac:dyDescent="0.25">
      <c r="H2" s="20"/>
      <c r="R2" s="375"/>
    </row>
    <row r="3" spans="1:33" ht="15.75" thickBot="1" x14ac:dyDescent="0.3">
      <c r="P3" s="20"/>
      <c r="U3" s="490"/>
      <c r="V3" s="87"/>
      <c r="W3" s="87"/>
      <c r="X3" s="87"/>
      <c r="Y3" s="87"/>
      <c r="Z3" s="87"/>
      <c r="AA3" s="87"/>
      <c r="AB3" s="87"/>
      <c r="AC3" s="87"/>
      <c r="AD3" s="87"/>
    </row>
    <row r="4" spans="1:33" ht="26.25" customHeight="1" thickBot="1" x14ac:dyDescent="0.3">
      <c r="B4" s="471" t="s">
        <v>0</v>
      </c>
      <c r="C4" s="492">
        <v>2020</v>
      </c>
      <c r="D4" s="494">
        <v>2021</v>
      </c>
      <c r="E4" s="496" t="s">
        <v>1</v>
      </c>
      <c r="F4" s="498" t="s">
        <v>439</v>
      </c>
      <c r="G4" s="494"/>
      <c r="H4" s="501" t="s">
        <v>440</v>
      </c>
      <c r="I4" s="502"/>
      <c r="J4" s="505" t="s">
        <v>333</v>
      </c>
      <c r="K4" s="502"/>
      <c r="L4"/>
      <c r="M4"/>
      <c r="O4"/>
      <c r="P4" s="398"/>
      <c r="U4" s="491"/>
      <c r="V4" s="87"/>
      <c r="W4" s="87"/>
      <c r="X4" s="87"/>
      <c r="Y4" s="87"/>
      <c r="Z4" s="87"/>
      <c r="AA4" s="87"/>
      <c r="AB4" s="87"/>
      <c r="AC4" s="87"/>
      <c r="AD4" s="87"/>
    </row>
    <row r="5" spans="1:33" ht="46.9" customHeight="1" thickBot="1" x14ac:dyDescent="0.3">
      <c r="B5" s="472"/>
      <c r="C5" s="493"/>
      <c r="D5" s="495"/>
      <c r="E5" s="497"/>
      <c r="F5" s="499"/>
      <c r="G5" s="500"/>
      <c r="H5" s="503"/>
      <c r="I5" s="504"/>
      <c r="J5" s="506"/>
      <c r="K5" s="504"/>
      <c r="L5"/>
      <c r="M5" s="448"/>
      <c r="N5" s="449">
        <f>SUM(N7:N25)</f>
        <v>52549320</v>
      </c>
      <c r="O5" s="450"/>
      <c r="P5" s="449">
        <f>SUM(P7:P25)</f>
        <v>51244839</v>
      </c>
      <c r="Q5" s="451"/>
      <c r="R5" s="449">
        <f>SUM(R7:R25)</f>
        <v>56925299.244874999</v>
      </c>
      <c r="S5" s="447">
        <f>SUM(S7:S25)</f>
        <v>52549</v>
      </c>
      <c r="T5" s="447">
        <f>SUM(T7:T25)</f>
        <v>51244</v>
      </c>
      <c r="U5" s="447">
        <f>SUM(U7:U25)</f>
        <v>56925.299244875016</v>
      </c>
      <c r="V5" s="447">
        <f>SUM(V7:V25)</f>
        <v>40250</v>
      </c>
      <c r="W5" s="390"/>
    </row>
    <row r="6" spans="1:33" ht="21.75" customHeight="1" x14ac:dyDescent="0.3">
      <c r="B6" s="116" t="s">
        <v>2</v>
      </c>
      <c r="C6" s="206"/>
      <c r="D6" s="223"/>
      <c r="E6" s="2"/>
      <c r="F6" s="2"/>
      <c r="G6" s="2"/>
      <c r="H6" s="223"/>
      <c r="I6" s="149"/>
      <c r="J6" s="242"/>
      <c r="K6" s="243"/>
      <c r="L6"/>
      <c r="M6" s="488">
        <v>2020</v>
      </c>
      <c r="N6" s="489"/>
      <c r="O6" s="488">
        <v>2021</v>
      </c>
      <c r="P6" s="488"/>
      <c r="Q6" s="488">
        <v>2022</v>
      </c>
      <c r="R6" s="488"/>
      <c r="S6" s="459">
        <v>2020</v>
      </c>
      <c r="T6" s="459">
        <v>2021</v>
      </c>
      <c r="U6" s="459">
        <v>2022</v>
      </c>
      <c r="V6" s="459" t="s">
        <v>441</v>
      </c>
      <c r="W6" s="391"/>
      <c r="X6" s="404" t="s">
        <v>409</v>
      </c>
      <c r="Y6" s="404" t="s">
        <v>408</v>
      </c>
      <c r="Z6" s="404" t="s">
        <v>434</v>
      </c>
      <c r="AA6" s="404" t="s">
        <v>435</v>
      </c>
      <c r="AB6" s="405" t="s">
        <v>410</v>
      </c>
      <c r="AC6" s="405" t="s">
        <v>361</v>
      </c>
      <c r="AD6" s="405" t="s">
        <v>407</v>
      </c>
      <c r="AE6" s="405" t="s">
        <v>436</v>
      </c>
    </row>
    <row r="7" spans="1:33" ht="16.5" x14ac:dyDescent="0.25">
      <c r="B7" s="116" t="s">
        <v>3</v>
      </c>
      <c r="C7" s="41">
        <v>37403</v>
      </c>
      <c r="D7" s="41">
        <v>34763</v>
      </c>
      <c r="E7" s="53">
        <f>D7/D11</f>
        <v>0.70243700965878664</v>
      </c>
      <c r="F7" s="4">
        <v>38764</v>
      </c>
      <c r="G7" s="53">
        <f>F7/D7</f>
        <v>1.1150936340361879</v>
      </c>
      <c r="H7" s="41">
        <v>40455</v>
      </c>
      <c r="I7" s="369">
        <f>+H7/F7-1</f>
        <v>4.3622949128056865E-2</v>
      </c>
      <c r="J7" s="244">
        <v>28000</v>
      </c>
      <c r="K7" s="118">
        <v>1.0566037735849056</v>
      </c>
      <c r="L7"/>
      <c r="M7" s="231" t="s">
        <v>303</v>
      </c>
      <c r="N7" s="230">
        <v>316170</v>
      </c>
      <c r="O7" s="231" t="s">
        <v>303</v>
      </c>
      <c r="P7" s="230">
        <v>321660</v>
      </c>
      <c r="Q7" s="232" t="s">
        <v>303</v>
      </c>
      <c r="R7" s="374">
        <v>337140.43437500001</v>
      </c>
      <c r="S7" s="238">
        <f>ROUND(N7/1000,0)</f>
        <v>316</v>
      </c>
      <c r="T7" s="388">
        <f>ROUND(P7/1000,0)</f>
        <v>322</v>
      </c>
      <c r="U7" s="239">
        <f>+R7/1000</f>
        <v>337.14043437499998</v>
      </c>
      <c r="V7" s="367">
        <f>ROUND(+AD7/1000,0)</f>
        <v>279</v>
      </c>
      <c r="W7" s="232" t="s">
        <v>303</v>
      </c>
      <c r="X7" s="402" t="s">
        <v>303</v>
      </c>
      <c r="Y7" s="402">
        <v>303055</v>
      </c>
      <c r="Z7" s="402">
        <v>13115</v>
      </c>
      <c r="AA7" s="402">
        <f>+Z7+Y7</f>
        <v>316170</v>
      </c>
      <c r="AB7" s="452">
        <v>277481.91000000003</v>
      </c>
      <c r="AC7" s="453">
        <v>1500</v>
      </c>
      <c r="AD7" s="453">
        <f t="shared" ref="AD7:AD25" si="0">+AC7+AB7</f>
        <v>278981.91000000003</v>
      </c>
      <c r="AE7" s="59">
        <f>+AD7/AA7</f>
        <v>0.88237944776544275</v>
      </c>
      <c r="AF7" s="458" t="s">
        <v>303</v>
      </c>
    </row>
    <row r="8" spans="1:33" ht="20.45" customHeight="1" x14ac:dyDescent="0.25">
      <c r="B8" s="116" t="s">
        <v>4</v>
      </c>
      <c r="C8" s="41">
        <v>990</v>
      </c>
      <c r="D8" s="41">
        <v>1739.3620617460565</v>
      </c>
      <c r="E8" s="53">
        <f>D8/D11</f>
        <v>3.5146341954573591E-2</v>
      </c>
      <c r="F8" s="4">
        <v>1670</v>
      </c>
      <c r="G8" s="53">
        <f>F8/D8</f>
        <v>0.96012212565081045</v>
      </c>
      <c r="H8" s="41">
        <v>1774</v>
      </c>
      <c r="I8" s="118">
        <f>+H8/F8-1</f>
        <v>6.2275449101796498E-2</v>
      </c>
      <c r="J8" s="244">
        <v>1514.5723666059914</v>
      </c>
      <c r="K8" s="118">
        <v>0.89513733250945116</v>
      </c>
      <c r="L8"/>
      <c r="M8" s="231" t="s">
        <v>400</v>
      </c>
      <c r="N8" s="20">
        <v>242440</v>
      </c>
      <c r="O8" s="231" t="s">
        <v>400</v>
      </c>
      <c r="P8" s="230">
        <v>236440</v>
      </c>
      <c r="Q8" s="232" t="s">
        <v>400</v>
      </c>
      <c r="R8" s="374">
        <v>270981.24725000001</v>
      </c>
      <c r="S8" s="238">
        <f t="shared" ref="S8:S25" si="1">ROUND(N8/1000,0)</f>
        <v>242</v>
      </c>
      <c r="T8" s="388">
        <f t="shared" ref="T8:T25" si="2">ROUND(P8/1000,0)</f>
        <v>236</v>
      </c>
      <c r="U8" s="239">
        <f t="shared" ref="U8:U25" si="3">+R8/1000</f>
        <v>270.98124725000002</v>
      </c>
      <c r="V8" s="367">
        <f t="shared" ref="V8:V25" si="4">ROUND(+AD8/1000,0)</f>
        <v>131</v>
      </c>
      <c r="W8" s="232" t="s">
        <v>400</v>
      </c>
      <c r="X8" s="402" t="s">
        <v>400</v>
      </c>
      <c r="Y8" s="402">
        <v>236440</v>
      </c>
      <c r="Z8" s="402">
        <v>6000</v>
      </c>
      <c r="AA8" s="402">
        <f t="shared" ref="AA8:AA25" si="5">+Z8+Y8</f>
        <v>242440</v>
      </c>
      <c r="AB8" s="452">
        <v>127086.39</v>
      </c>
      <c r="AC8" s="453">
        <v>3959</v>
      </c>
      <c r="AD8" s="453">
        <f t="shared" si="0"/>
        <v>131045.39</v>
      </c>
      <c r="AE8" s="59">
        <f t="shared" ref="AE8:AE26" si="6">+AD8/AA8</f>
        <v>0.54052709948853328</v>
      </c>
      <c r="AF8" s="458" t="s">
        <v>400</v>
      </c>
    </row>
    <row r="9" spans="1:33" ht="16.5" x14ac:dyDescent="0.25">
      <c r="B9" s="119" t="s">
        <v>5</v>
      </c>
      <c r="C9" s="30">
        <f>+C7+C8</f>
        <v>38393</v>
      </c>
      <c r="D9" s="43">
        <f>SUM(D7:D8)</f>
        <v>36502.362061746055</v>
      </c>
      <c r="E9" s="151">
        <f>D9/D11</f>
        <v>0.73758335161336019</v>
      </c>
      <c r="F9" s="30">
        <f>+F7+F8</f>
        <v>40434</v>
      </c>
      <c r="G9" s="71">
        <f>F9/D9</f>
        <v>1.1077091376060357</v>
      </c>
      <c r="H9" s="43">
        <f>SUM(H7:H8)</f>
        <v>42229</v>
      </c>
      <c r="I9" s="120">
        <f>+H9/F9-1</f>
        <v>4.4393332344066838E-2</v>
      </c>
      <c r="J9" s="245">
        <v>29514.572366605993</v>
      </c>
      <c r="K9" s="120">
        <v>1.0469130379755247</v>
      </c>
      <c r="L9"/>
      <c r="M9" s="231" t="s">
        <v>304</v>
      </c>
      <c r="N9" s="230">
        <v>306990</v>
      </c>
      <c r="O9" s="231" t="s">
        <v>304</v>
      </c>
      <c r="P9" s="230">
        <v>312480</v>
      </c>
      <c r="Q9" s="232" t="s">
        <v>304</v>
      </c>
      <c r="R9" s="374">
        <v>306990</v>
      </c>
      <c r="S9" s="238">
        <f t="shared" si="1"/>
        <v>307</v>
      </c>
      <c r="T9" s="388">
        <f t="shared" si="2"/>
        <v>312</v>
      </c>
      <c r="U9" s="239">
        <f t="shared" si="3"/>
        <v>306.99</v>
      </c>
      <c r="V9" s="367">
        <f t="shared" si="4"/>
        <v>190</v>
      </c>
      <c r="W9" s="232" t="s">
        <v>304</v>
      </c>
      <c r="X9" s="402" t="s">
        <v>304</v>
      </c>
      <c r="Y9" s="402">
        <v>212540</v>
      </c>
      <c r="Z9" s="402">
        <v>94450</v>
      </c>
      <c r="AA9" s="402">
        <f t="shared" si="5"/>
        <v>306990</v>
      </c>
      <c r="AB9" s="452">
        <v>135950</v>
      </c>
      <c r="AC9" s="453">
        <v>54111</v>
      </c>
      <c r="AD9" s="453">
        <f t="shared" si="0"/>
        <v>190061</v>
      </c>
      <c r="AE9" s="59">
        <f t="shared" si="6"/>
        <v>0.61911137170591879</v>
      </c>
      <c r="AF9" s="458" t="s">
        <v>304</v>
      </c>
    </row>
    <row r="10" spans="1:33" ht="23.45" customHeight="1" x14ac:dyDescent="0.25">
      <c r="B10" s="121" t="s">
        <v>6</v>
      </c>
      <c r="C10" s="42">
        <f>+C13-C9</f>
        <v>12425.875</v>
      </c>
      <c r="D10" s="42">
        <f>+D13-D9</f>
        <v>12986.772938253947</v>
      </c>
      <c r="E10" s="61">
        <f>D10/D11</f>
        <v>0.26241664838663975</v>
      </c>
      <c r="F10" s="42">
        <f>IF((+F13-F9)&lt;0,0,F13-F9)</f>
        <v>0</v>
      </c>
      <c r="G10" s="61">
        <f>F10/D10</f>
        <v>0</v>
      </c>
      <c r="H10" s="42">
        <f>+H13-H9</f>
        <v>14696.299244875001</v>
      </c>
      <c r="I10" s="122">
        <v>1</v>
      </c>
      <c r="J10" s="246">
        <v>13925.427633394007</v>
      </c>
      <c r="K10" s="122">
        <v>5.0582737498706889</v>
      </c>
      <c r="L10"/>
      <c r="M10" s="231" t="s">
        <v>305</v>
      </c>
      <c r="N10" s="230">
        <v>5822905</v>
      </c>
      <c r="O10" s="231" t="s">
        <v>305</v>
      </c>
      <c r="P10" s="230">
        <f>6772470+450000</f>
        <v>7222470</v>
      </c>
      <c r="Q10" s="232" t="s">
        <v>305</v>
      </c>
      <c r="R10" s="374">
        <v>7829886.3425000003</v>
      </c>
      <c r="S10" s="238">
        <f t="shared" si="1"/>
        <v>5823</v>
      </c>
      <c r="T10" s="387">
        <f t="shared" si="2"/>
        <v>7222</v>
      </c>
      <c r="U10" s="239">
        <f t="shared" si="3"/>
        <v>7829.8863425</v>
      </c>
      <c r="V10" s="367">
        <f t="shared" si="4"/>
        <v>2805</v>
      </c>
      <c r="W10" s="232" t="s">
        <v>305</v>
      </c>
      <c r="X10" s="402" t="s">
        <v>305</v>
      </c>
      <c r="Y10" s="402">
        <v>287560</v>
      </c>
      <c r="Z10" s="402">
        <v>5535345</v>
      </c>
      <c r="AA10" s="402">
        <f t="shared" si="5"/>
        <v>5822905</v>
      </c>
      <c r="AB10" s="452">
        <v>171704.06</v>
      </c>
      <c r="AC10" s="453">
        <f>2704580-AB10+100000</f>
        <v>2632875.94</v>
      </c>
      <c r="AD10" s="453">
        <f t="shared" si="0"/>
        <v>2804580</v>
      </c>
      <c r="AE10" s="59">
        <f t="shared" si="6"/>
        <v>0.48164618862921516</v>
      </c>
      <c r="AF10" s="458" t="s">
        <v>305</v>
      </c>
    </row>
    <row r="11" spans="1:33" ht="19.899999999999999" customHeight="1" x14ac:dyDescent="0.25">
      <c r="B11" s="123" t="s">
        <v>7</v>
      </c>
      <c r="C11" s="33">
        <f>+C9+C10</f>
        <v>50818.875</v>
      </c>
      <c r="D11" s="33">
        <f>SUM(D9:D10)</f>
        <v>49489.135000000002</v>
      </c>
      <c r="E11" s="152">
        <f>D11/D11</f>
        <v>1</v>
      </c>
      <c r="F11" s="33">
        <f>+F10+F9</f>
        <v>40434</v>
      </c>
      <c r="G11" s="34">
        <f>F11/D11</f>
        <v>0.8170278183282047</v>
      </c>
      <c r="H11" s="44">
        <f>SUM(H9:H10)</f>
        <v>56925.299244875001</v>
      </c>
      <c r="I11" s="248">
        <f>+H11/F11-1</f>
        <v>0.40785723017448183</v>
      </c>
      <c r="J11" s="247">
        <v>43440</v>
      </c>
      <c r="K11" s="248">
        <v>1.4037809015996121</v>
      </c>
      <c r="L11"/>
      <c r="M11" s="231" t="s">
        <v>312</v>
      </c>
      <c r="N11" s="230">
        <v>263190</v>
      </c>
      <c r="O11" s="231" t="s">
        <v>312</v>
      </c>
      <c r="P11" s="230">
        <v>264855</v>
      </c>
      <c r="Q11" s="232" t="s">
        <v>312</v>
      </c>
      <c r="R11" s="374">
        <v>265689.79949999996</v>
      </c>
      <c r="S11" s="238">
        <f t="shared" si="1"/>
        <v>263</v>
      </c>
      <c r="T11" s="388">
        <f t="shared" si="2"/>
        <v>265</v>
      </c>
      <c r="U11" s="239">
        <f t="shared" si="3"/>
        <v>265.68979949999999</v>
      </c>
      <c r="V11" s="367">
        <f t="shared" si="4"/>
        <v>237</v>
      </c>
      <c r="W11" s="232" t="s">
        <v>312</v>
      </c>
      <c r="X11" s="402" t="s">
        <v>312</v>
      </c>
      <c r="Y11" s="402">
        <v>215805</v>
      </c>
      <c r="Z11" s="402">
        <v>47385</v>
      </c>
      <c r="AA11" s="402">
        <f t="shared" si="5"/>
        <v>263190</v>
      </c>
      <c r="AB11" s="452">
        <v>210856.47</v>
      </c>
      <c r="AC11" s="453">
        <v>26222</v>
      </c>
      <c r="AD11" s="453">
        <f t="shared" si="0"/>
        <v>237078.47</v>
      </c>
      <c r="AE11" s="59">
        <f t="shared" si="6"/>
        <v>0.9007882898286409</v>
      </c>
      <c r="AF11" s="458" t="s">
        <v>312</v>
      </c>
    </row>
    <row r="12" spans="1:33" ht="21.6" customHeight="1" x14ac:dyDescent="0.25">
      <c r="B12" s="116" t="s">
        <v>8</v>
      </c>
      <c r="C12" s="208"/>
      <c r="D12" s="208"/>
      <c r="E12" s="209"/>
      <c r="F12" s="208"/>
      <c r="G12" s="206"/>
      <c r="H12" s="208"/>
      <c r="I12" s="210"/>
      <c r="J12" s="249"/>
      <c r="K12" s="210"/>
      <c r="L12"/>
      <c r="M12" s="231" t="s">
        <v>313</v>
      </c>
      <c r="N12" s="230">
        <v>408190</v>
      </c>
      <c r="O12" s="231" t="s">
        <v>313</v>
      </c>
      <c r="P12" s="230">
        <v>478550</v>
      </c>
      <c r="Q12" s="232" t="s">
        <v>313</v>
      </c>
      <c r="R12" s="374">
        <v>473565.82237499999</v>
      </c>
      <c r="S12" s="238">
        <f t="shared" si="1"/>
        <v>408</v>
      </c>
      <c r="T12" s="388">
        <f t="shared" si="2"/>
        <v>479</v>
      </c>
      <c r="U12" s="239">
        <f t="shared" si="3"/>
        <v>473.56582237499998</v>
      </c>
      <c r="V12" s="367">
        <f t="shared" si="4"/>
        <v>350</v>
      </c>
      <c r="W12" s="232" t="s">
        <v>313</v>
      </c>
      <c r="X12" s="402" t="s">
        <v>313</v>
      </c>
      <c r="Y12" s="402">
        <v>143580</v>
      </c>
      <c r="Z12" s="402">
        <v>264610</v>
      </c>
      <c r="AA12" s="402">
        <f t="shared" si="5"/>
        <v>408190</v>
      </c>
      <c r="AB12" s="452">
        <v>135164.82</v>
      </c>
      <c r="AC12" s="453">
        <f>350000-AB12</f>
        <v>214835.18</v>
      </c>
      <c r="AD12" s="453">
        <f t="shared" si="0"/>
        <v>350000</v>
      </c>
      <c r="AE12" s="59">
        <f t="shared" si="6"/>
        <v>0.85744383742864838</v>
      </c>
      <c r="AF12" s="458" t="s">
        <v>313</v>
      </c>
    </row>
    <row r="13" spans="1:33" ht="16.5" x14ac:dyDescent="0.25">
      <c r="B13" s="125" t="s">
        <v>9</v>
      </c>
      <c r="C13" s="33">
        <f>+C18+C24+C27+C28</f>
        <v>50818.875</v>
      </c>
      <c r="D13" s="33">
        <f>+D18+D24+D27+D28</f>
        <v>49489.135000000002</v>
      </c>
      <c r="E13" s="152">
        <v>1</v>
      </c>
      <c r="F13" s="33">
        <f>+F18+F24+F26+F28</f>
        <v>40250</v>
      </c>
      <c r="G13" s="34">
        <f>F13/D13</f>
        <v>0.81330983053148931</v>
      </c>
      <c r="H13" s="33">
        <f>+H18+H24+H27+H28</f>
        <v>56925.299244875001</v>
      </c>
      <c r="I13" s="251">
        <f>+H13/F13-1</f>
        <v>0.41429314894099378</v>
      </c>
      <c r="J13" s="250">
        <v>43440</v>
      </c>
      <c r="K13" s="251">
        <v>1.4037809015996121</v>
      </c>
      <c r="L13"/>
      <c r="M13" s="231" t="s">
        <v>314</v>
      </c>
      <c r="N13" s="230">
        <v>142920</v>
      </c>
      <c r="O13" s="231" t="s">
        <v>314</v>
      </c>
      <c r="P13" s="230">
        <v>142920</v>
      </c>
      <c r="Q13" s="232" t="s">
        <v>314</v>
      </c>
      <c r="R13" s="374">
        <v>155330.90625</v>
      </c>
      <c r="S13" s="238">
        <f t="shared" si="1"/>
        <v>143</v>
      </c>
      <c r="T13" s="388">
        <f t="shared" si="2"/>
        <v>143</v>
      </c>
      <c r="U13" s="239">
        <f t="shared" si="3"/>
        <v>155.33090625</v>
      </c>
      <c r="V13" s="367">
        <f t="shared" si="4"/>
        <v>111</v>
      </c>
      <c r="W13" s="232" t="s">
        <v>314</v>
      </c>
      <c r="X13" s="402" t="s">
        <v>314</v>
      </c>
      <c r="Y13" s="402">
        <v>124010</v>
      </c>
      <c r="Z13" s="402">
        <v>18910</v>
      </c>
      <c r="AA13" s="402">
        <f t="shared" si="5"/>
        <v>142920</v>
      </c>
      <c r="AB13" s="452">
        <v>92169.55</v>
      </c>
      <c r="AC13" s="453">
        <v>18910</v>
      </c>
      <c r="AD13" s="453">
        <f t="shared" si="0"/>
        <v>111079.55</v>
      </c>
      <c r="AE13" s="59">
        <f t="shared" si="6"/>
        <v>0.77721487545479995</v>
      </c>
      <c r="AF13" s="458" t="s">
        <v>314</v>
      </c>
    </row>
    <row r="14" spans="1:33" x14ac:dyDescent="0.25">
      <c r="B14" s="116" t="s">
        <v>329</v>
      </c>
      <c r="C14" s="21"/>
      <c r="D14" s="21"/>
      <c r="E14" s="64"/>
      <c r="F14" s="21"/>
      <c r="G14" s="2"/>
      <c r="H14" s="21"/>
      <c r="I14" s="130"/>
      <c r="J14" s="252"/>
      <c r="K14" s="130"/>
      <c r="L14"/>
      <c r="M14" s="231" t="s">
        <v>88</v>
      </c>
      <c r="N14" s="230">
        <v>19313320</v>
      </c>
      <c r="O14" s="231" t="s">
        <v>88</v>
      </c>
      <c r="P14" s="230">
        <v>17692490</v>
      </c>
      <c r="Q14" s="232" t="s">
        <v>88</v>
      </c>
      <c r="R14" s="374">
        <v>19955302.177499998</v>
      </c>
      <c r="S14" s="238">
        <f t="shared" si="1"/>
        <v>19313</v>
      </c>
      <c r="T14" s="387">
        <f t="shared" si="2"/>
        <v>17692</v>
      </c>
      <c r="U14" s="239">
        <f t="shared" si="3"/>
        <v>19955.302177499998</v>
      </c>
      <c r="V14" s="367">
        <f t="shared" si="4"/>
        <v>15531</v>
      </c>
      <c r="W14" s="232" t="s">
        <v>88</v>
      </c>
      <c r="X14" s="402" t="s">
        <v>88</v>
      </c>
      <c r="Y14" s="402">
        <v>313320</v>
      </c>
      <c r="Z14" s="402">
        <v>19000000</v>
      </c>
      <c r="AA14" s="402">
        <f t="shared" si="5"/>
        <v>19313320</v>
      </c>
      <c r="AB14" s="452">
        <v>265058.81</v>
      </c>
      <c r="AC14" s="453">
        <v>15266206</v>
      </c>
      <c r="AD14" s="453">
        <f t="shared" si="0"/>
        <v>15531264.810000001</v>
      </c>
      <c r="AE14" s="59">
        <f t="shared" si="6"/>
        <v>0.80417374174921763</v>
      </c>
      <c r="AF14" s="458" t="s">
        <v>88</v>
      </c>
    </row>
    <row r="15" spans="1:33" ht="18.75" x14ac:dyDescent="0.3">
      <c r="A15" s="237"/>
      <c r="B15" s="116" t="s">
        <v>328</v>
      </c>
      <c r="C15" s="6">
        <f>+S14</f>
        <v>19313</v>
      </c>
      <c r="D15" s="6">
        <f>+T14</f>
        <v>17692</v>
      </c>
      <c r="E15" s="205">
        <f>+D15/$D$13</f>
        <v>0.35749260923635057</v>
      </c>
      <c r="F15" s="6">
        <f>+V14</f>
        <v>15531</v>
      </c>
      <c r="G15" s="205">
        <f>+F15/D15</f>
        <v>0.87785439746778204</v>
      </c>
      <c r="H15" s="6">
        <f>+U14</f>
        <v>19955.302177499998</v>
      </c>
      <c r="I15" s="254">
        <f>+H15/F15-1</f>
        <v>0.28486911193741538</v>
      </c>
      <c r="J15" s="253">
        <v>14675</v>
      </c>
      <c r="K15" s="254">
        <v>1.1846141427187602</v>
      </c>
      <c r="L15"/>
      <c r="M15" s="231" t="s">
        <v>87</v>
      </c>
      <c r="N15" s="230">
        <v>17624595</v>
      </c>
      <c r="O15" s="231" t="s">
        <v>87</v>
      </c>
      <c r="P15" s="230">
        <v>17204354</v>
      </c>
      <c r="Q15" s="232" t="s">
        <v>87</v>
      </c>
      <c r="R15" s="374">
        <v>20005325.092750002</v>
      </c>
      <c r="S15" s="238">
        <f t="shared" si="1"/>
        <v>17625</v>
      </c>
      <c r="T15" s="387">
        <f t="shared" si="2"/>
        <v>17204</v>
      </c>
      <c r="U15" s="239">
        <f t="shared" si="3"/>
        <v>20005.325092750001</v>
      </c>
      <c r="V15" s="367">
        <f t="shared" si="4"/>
        <v>16090</v>
      </c>
      <c r="W15" s="232" t="s">
        <v>87</v>
      </c>
      <c r="X15" s="402" t="s">
        <v>87</v>
      </c>
      <c r="Y15" s="402">
        <v>432135</v>
      </c>
      <c r="Z15" s="402">
        <v>17192460</v>
      </c>
      <c r="AA15" s="402">
        <f t="shared" si="5"/>
        <v>17624595</v>
      </c>
      <c r="AB15" s="452">
        <v>190179.7</v>
      </c>
      <c r="AC15" s="453">
        <f>16089984-AB15</f>
        <v>15899804.300000001</v>
      </c>
      <c r="AD15" s="453">
        <f t="shared" si="0"/>
        <v>16089984</v>
      </c>
      <c r="AE15" s="59">
        <f t="shared" si="6"/>
        <v>0.91292787153406929</v>
      </c>
      <c r="AF15" s="458" t="s">
        <v>87</v>
      </c>
    </row>
    <row r="16" spans="1:33" ht="16.5" x14ac:dyDescent="0.25">
      <c r="B16" s="116" t="s">
        <v>12</v>
      </c>
      <c r="C16" s="6">
        <f>+S15</f>
        <v>17625</v>
      </c>
      <c r="D16" s="6">
        <f>+T15</f>
        <v>17204</v>
      </c>
      <c r="E16" s="205">
        <f>+D16/$D$13</f>
        <v>0.34763185899288801</v>
      </c>
      <c r="F16" s="6">
        <f>+V15</f>
        <v>16090</v>
      </c>
      <c r="G16" s="205">
        <f>+F16/D16</f>
        <v>0.9352476168332946</v>
      </c>
      <c r="H16" s="150">
        <f>+U15</f>
        <v>20005.325092750001</v>
      </c>
      <c r="I16" s="254">
        <f t="shared" ref="I16:I17" si="7">+H16/F16-1</f>
        <v>0.24333903621814801</v>
      </c>
      <c r="J16" s="255">
        <v>12875</v>
      </c>
      <c r="K16" s="254">
        <v>1.1492457377488172</v>
      </c>
      <c r="L16"/>
      <c r="M16" s="231" t="s">
        <v>321</v>
      </c>
      <c r="N16" s="230">
        <v>541220</v>
      </c>
      <c r="O16" s="231" t="s">
        <v>321</v>
      </c>
      <c r="P16" s="230">
        <v>452070</v>
      </c>
      <c r="Q16" s="232" t="s">
        <v>321</v>
      </c>
      <c r="R16" s="374">
        <v>447888.02275</v>
      </c>
      <c r="S16" s="238">
        <f t="shared" si="1"/>
        <v>541</v>
      </c>
      <c r="T16" s="389">
        <f t="shared" si="2"/>
        <v>452</v>
      </c>
      <c r="U16" s="239">
        <f t="shared" si="3"/>
        <v>447.88802275</v>
      </c>
      <c r="V16" s="367">
        <f t="shared" si="4"/>
        <v>323</v>
      </c>
      <c r="W16" s="232" t="s">
        <v>321</v>
      </c>
      <c r="X16" s="402" t="s">
        <v>321</v>
      </c>
      <c r="Y16" s="402">
        <v>224270</v>
      </c>
      <c r="Z16" s="402">
        <v>316950</v>
      </c>
      <c r="AA16" s="402">
        <f t="shared" si="5"/>
        <v>541220</v>
      </c>
      <c r="AB16" s="452">
        <v>148369.54</v>
      </c>
      <c r="AC16" s="453">
        <f>322800-AB16</f>
        <v>174430.46</v>
      </c>
      <c r="AD16" s="453">
        <f t="shared" si="0"/>
        <v>322800</v>
      </c>
      <c r="AE16" s="59">
        <f t="shared" si="6"/>
        <v>0.59643028712907875</v>
      </c>
      <c r="AF16" s="458" t="s">
        <v>321</v>
      </c>
      <c r="AG16" s="39"/>
    </row>
    <row r="17" spans="1:32" ht="16.5" x14ac:dyDescent="0.25">
      <c r="B17" s="116" t="s">
        <v>42</v>
      </c>
      <c r="C17" s="6">
        <f>+S10-N28/1000</f>
        <v>3578.84</v>
      </c>
      <c r="D17" s="6">
        <f>+T10-P28/1000</f>
        <v>3822</v>
      </c>
      <c r="E17" s="205">
        <f t="shared" ref="E17" si="8">+D17/$D$13</f>
        <v>7.7229072603511861E-2</v>
      </c>
      <c r="F17" s="6">
        <f>+V10</f>
        <v>2805</v>
      </c>
      <c r="G17" s="205">
        <f>+F17/D17</f>
        <v>0.73390894819466246</v>
      </c>
      <c r="H17" s="6">
        <f>+U10-R28/1000</f>
        <v>3929.8863425</v>
      </c>
      <c r="I17" s="254">
        <f t="shared" si="7"/>
        <v>0.40102899910873435</v>
      </c>
      <c r="J17" s="253">
        <v>2880</v>
      </c>
      <c r="K17" s="254">
        <v>2.1508588498879759</v>
      </c>
      <c r="L17"/>
      <c r="M17" s="231" t="s">
        <v>90</v>
      </c>
      <c r="N17" s="230">
        <v>1431395</v>
      </c>
      <c r="O17" s="231" t="s">
        <v>90</v>
      </c>
      <c r="P17" s="230">
        <v>811255</v>
      </c>
      <c r="Q17" s="232" t="s">
        <v>90</v>
      </c>
      <c r="R17" s="374">
        <v>804251.38312500005</v>
      </c>
      <c r="S17" s="238">
        <f t="shared" si="1"/>
        <v>1431</v>
      </c>
      <c r="T17" s="389">
        <f t="shared" si="2"/>
        <v>811</v>
      </c>
      <c r="U17" s="239">
        <f t="shared" si="3"/>
        <v>804.25138312500007</v>
      </c>
      <c r="V17" s="367">
        <f t="shared" si="4"/>
        <v>619</v>
      </c>
      <c r="W17" s="232" t="s">
        <v>90</v>
      </c>
      <c r="X17" s="402" t="s">
        <v>90</v>
      </c>
      <c r="Y17" s="402">
        <v>273910</v>
      </c>
      <c r="Z17" s="402">
        <v>1157485</v>
      </c>
      <c r="AA17" s="402">
        <f t="shared" si="5"/>
        <v>1431395</v>
      </c>
      <c r="AB17" s="452">
        <v>165495.22999999998</v>
      </c>
      <c r="AC17" s="453">
        <f>618629-AB17</f>
        <v>453133.77</v>
      </c>
      <c r="AD17" s="453">
        <f t="shared" si="0"/>
        <v>618629</v>
      </c>
      <c r="AE17" s="59">
        <f t="shared" si="6"/>
        <v>0.43218608420456966</v>
      </c>
      <c r="AF17" s="458" t="s">
        <v>90</v>
      </c>
    </row>
    <row r="18" spans="1:32" ht="16.5" x14ac:dyDescent="0.25">
      <c r="B18" s="128" t="s">
        <v>13</v>
      </c>
      <c r="C18" s="30">
        <f>SUM(C15:C17)</f>
        <v>40516.839999999997</v>
      </c>
      <c r="D18" s="30">
        <f>SUM(D15:D17)</f>
        <v>38718</v>
      </c>
      <c r="E18" s="151">
        <f>D18/D13</f>
        <v>0.78235354083275044</v>
      </c>
      <c r="F18" s="30">
        <f>SUM(F15:F17)</f>
        <v>34426</v>
      </c>
      <c r="G18" s="31">
        <f>F18/D18</f>
        <v>0.88914716669249449</v>
      </c>
      <c r="H18" s="30">
        <f>SUM(H15:H17)</f>
        <v>43890.513612750001</v>
      </c>
      <c r="I18" s="120">
        <f>+H18/F18-1</f>
        <v>0.27492341871695825</v>
      </c>
      <c r="J18" s="253">
        <v>2090</v>
      </c>
      <c r="K18" s="254">
        <v>1.1559734513274336</v>
      </c>
      <c r="L18"/>
      <c r="M18" s="231" t="s">
        <v>315</v>
      </c>
      <c r="N18" s="230">
        <v>2475575</v>
      </c>
      <c r="O18" s="231" t="s">
        <v>315</v>
      </c>
      <c r="P18" s="230">
        <v>2514185</v>
      </c>
      <c r="Q18" s="232" t="s">
        <v>315</v>
      </c>
      <c r="R18" s="374">
        <v>2640975.4526249999</v>
      </c>
      <c r="S18" s="238">
        <f t="shared" si="1"/>
        <v>2476</v>
      </c>
      <c r="T18" s="388">
        <f t="shared" si="2"/>
        <v>2514</v>
      </c>
      <c r="U18" s="239">
        <f t="shared" si="3"/>
        <v>2640.9754526249999</v>
      </c>
      <c r="V18" s="367">
        <f>ROUND(+AD18/1000,0)</f>
        <v>564</v>
      </c>
      <c r="W18" s="232" t="s">
        <v>315</v>
      </c>
      <c r="X18" s="402" t="s">
        <v>315</v>
      </c>
      <c r="Y18" s="402">
        <f>2190320-P32-120000-67500</f>
        <v>142455</v>
      </c>
      <c r="Z18" s="402">
        <f>285255+P32+120000+67500</f>
        <v>2333120</v>
      </c>
      <c r="AA18" s="402">
        <f t="shared" si="5"/>
        <v>2475575</v>
      </c>
      <c r="AB18" s="452">
        <v>150612.79999999999</v>
      </c>
      <c r="AC18" s="453">
        <f>563945-AB18</f>
        <v>413332.2</v>
      </c>
      <c r="AD18" s="453">
        <f t="shared" si="0"/>
        <v>563945</v>
      </c>
      <c r="AE18" s="59">
        <f t="shared" si="6"/>
        <v>0.2278036415782192</v>
      </c>
      <c r="AF18" s="458" t="s">
        <v>315</v>
      </c>
    </row>
    <row r="19" spans="1:32" ht="16.5" x14ac:dyDescent="0.25">
      <c r="B19" s="116" t="s">
        <v>14</v>
      </c>
      <c r="C19" s="21"/>
      <c r="D19" s="21"/>
      <c r="E19" s="64"/>
      <c r="F19" s="21"/>
      <c r="G19" s="2"/>
      <c r="H19" s="21"/>
      <c r="I19" s="130"/>
      <c r="J19" s="256">
        <v>32520</v>
      </c>
      <c r="K19" s="120">
        <v>1.2529860522462819</v>
      </c>
      <c r="L19"/>
      <c r="M19" s="231" t="s">
        <v>316</v>
      </c>
      <c r="N19" s="230">
        <v>931635</v>
      </c>
      <c r="O19" s="231" t="s">
        <v>316</v>
      </c>
      <c r="P19" s="230">
        <f>913800</f>
        <v>913800</v>
      </c>
      <c r="Q19" s="232" t="s">
        <v>316</v>
      </c>
      <c r="R19" s="374">
        <v>768956.37812500005</v>
      </c>
      <c r="S19" s="238">
        <f t="shared" si="1"/>
        <v>932</v>
      </c>
      <c r="T19" s="388">
        <f t="shared" si="2"/>
        <v>914</v>
      </c>
      <c r="U19" s="239">
        <f t="shared" si="3"/>
        <v>768.95637812500001</v>
      </c>
      <c r="V19" s="367">
        <f t="shared" si="4"/>
        <v>877</v>
      </c>
      <c r="W19" s="232" t="s">
        <v>316</v>
      </c>
      <c r="X19" s="402" t="s">
        <v>316</v>
      </c>
      <c r="Y19" s="402">
        <v>183775</v>
      </c>
      <c r="Z19" s="402">
        <v>747860</v>
      </c>
      <c r="AA19" s="402">
        <f t="shared" si="5"/>
        <v>931635</v>
      </c>
      <c r="AB19" s="452">
        <v>120939.04000000001</v>
      </c>
      <c r="AC19" s="453">
        <v>756373</v>
      </c>
      <c r="AD19" s="453">
        <f t="shared" si="0"/>
        <v>877312.04</v>
      </c>
      <c r="AE19" s="59">
        <f t="shared" si="6"/>
        <v>0.94169072651843266</v>
      </c>
      <c r="AF19" s="458" t="s">
        <v>316</v>
      </c>
    </row>
    <row r="20" spans="1:32" ht="18" customHeight="1" x14ac:dyDescent="0.25">
      <c r="B20" s="116" t="s">
        <v>15</v>
      </c>
      <c r="C20" s="6">
        <f>+S17</f>
        <v>1431</v>
      </c>
      <c r="D20" s="6">
        <f>+T17</f>
        <v>811</v>
      </c>
      <c r="E20" s="205">
        <f t="shared" ref="E20:E21" si="9">+D20/$D$13</f>
        <v>1.6387435343131376E-2</v>
      </c>
      <c r="F20" s="6">
        <f>+V17</f>
        <v>619</v>
      </c>
      <c r="G20" s="205">
        <f>F20/D20</f>
        <v>0.76325524044389648</v>
      </c>
      <c r="H20" s="6">
        <f>+U17</f>
        <v>804.25138312500007</v>
      </c>
      <c r="I20" s="254">
        <f>+H20/F20-1</f>
        <v>0.29927525545234257</v>
      </c>
      <c r="J20" s="252"/>
      <c r="K20" s="130"/>
      <c r="L20"/>
      <c r="M20" s="231" t="s">
        <v>222</v>
      </c>
      <c r="N20" s="230">
        <v>204820</v>
      </c>
      <c r="O20" s="231" t="s">
        <v>222</v>
      </c>
      <c r="P20" s="230">
        <v>204820</v>
      </c>
      <c r="Q20" s="232" t="s">
        <v>222</v>
      </c>
      <c r="R20" s="374">
        <v>233887.70524999997</v>
      </c>
      <c r="S20" s="238">
        <f t="shared" si="1"/>
        <v>205</v>
      </c>
      <c r="T20" s="388">
        <f t="shared" si="2"/>
        <v>205</v>
      </c>
      <c r="U20" s="239">
        <f t="shared" si="3"/>
        <v>233.88770524999998</v>
      </c>
      <c r="V20" s="367">
        <f t="shared" si="4"/>
        <v>169</v>
      </c>
      <c r="W20" s="232" t="s">
        <v>222</v>
      </c>
      <c r="X20" s="402" t="s">
        <v>222</v>
      </c>
      <c r="Y20" s="402">
        <v>204820</v>
      </c>
      <c r="Z20" s="402"/>
      <c r="AA20" s="402">
        <f t="shared" si="5"/>
        <v>204820</v>
      </c>
      <c r="AB20" s="452">
        <v>168552.57</v>
      </c>
      <c r="AC20" s="453"/>
      <c r="AD20" s="453">
        <f t="shared" si="0"/>
        <v>168552.57</v>
      </c>
      <c r="AE20" s="59">
        <f t="shared" si="6"/>
        <v>0.82293023142271271</v>
      </c>
      <c r="AF20" s="458" t="s">
        <v>222</v>
      </c>
    </row>
    <row r="21" spans="1:32" ht="16.5" x14ac:dyDescent="0.25">
      <c r="A21" s="236"/>
      <c r="B21" s="116" t="s">
        <v>16</v>
      </c>
      <c r="C21" s="6">
        <f>+S16</f>
        <v>541</v>
      </c>
      <c r="D21" s="6">
        <f>+T16</f>
        <v>452</v>
      </c>
      <c r="E21" s="205">
        <f t="shared" si="9"/>
        <v>9.133317848452999E-3</v>
      </c>
      <c r="F21" s="6">
        <f>+V16</f>
        <v>323</v>
      </c>
      <c r="G21" s="205">
        <f>F21/D21</f>
        <v>0.71460176991150437</v>
      </c>
      <c r="H21" s="6">
        <f>+U16</f>
        <v>447.88802275</v>
      </c>
      <c r="I21" s="254">
        <f>+H21/F21-1</f>
        <v>0.38665022523219816</v>
      </c>
      <c r="J21" s="253">
        <v>1550</v>
      </c>
      <c r="K21" s="254">
        <v>1.4540337711069418</v>
      </c>
      <c r="L21"/>
      <c r="M21" s="372" t="s">
        <v>398</v>
      </c>
      <c r="N21" s="230">
        <v>146810</v>
      </c>
      <c r="O21" s="372" t="s">
        <v>398</v>
      </c>
      <c r="P21" s="230">
        <v>91815</v>
      </c>
      <c r="Q21" s="372" t="s">
        <v>398</v>
      </c>
      <c r="R21" s="374">
        <v>120093.91925000001</v>
      </c>
      <c r="S21" s="238">
        <f t="shared" si="1"/>
        <v>147</v>
      </c>
      <c r="T21" s="389">
        <f t="shared" si="2"/>
        <v>92</v>
      </c>
      <c r="U21" s="239">
        <f t="shared" si="3"/>
        <v>120.09391925000001</v>
      </c>
      <c r="V21" s="367">
        <f t="shared" si="4"/>
        <v>77</v>
      </c>
      <c r="W21" s="372" t="s">
        <v>398</v>
      </c>
      <c r="X21" s="403" t="s">
        <v>398</v>
      </c>
      <c r="Y21" s="403">
        <v>91815</v>
      </c>
      <c r="Z21" s="403">
        <v>54995</v>
      </c>
      <c r="AA21" s="402">
        <f t="shared" si="5"/>
        <v>146810</v>
      </c>
      <c r="AB21" s="452">
        <v>76570.290000000008</v>
      </c>
      <c r="AC21" s="453"/>
      <c r="AD21" s="453">
        <f t="shared" si="0"/>
        <v>76570.290000000008</v>
      </c>
      <c r="AE21" s="59">
        <f t="shared" si="6"/>
        <v>0.52156045228526671</v>
      </c>
      <c r="AF21" s="458" t="s">
        <v>398</v>
      </c>
    </row>
    <row r="22" spans="1:32" ht="16.5" x14ac:dyDescent="0.25">
      <c r="B22" s="116" t="s">
        <v>83</v>
      </c>
      <c r="C22" s="6">
        <f>+S23</f>
        <v>177</v>
      </c>
      <c r="D22" s="6">
        <f>+T23</f>
        <v>179</v>
      </c>
      <c r="E22" s="205">
        <f>+D22/$D$13</f>
        <v>3.6169555196307228E-3</v>
      </c>
      <c r="F22" s="6">
        <f>+V23</f>
        <v>135</v>
      </c>
      <c r="G22" s="205">
        <f>F22/D22</f>
        <v>0.75418994413407825</v>
      </c>
      <c r="H22" s="150">
        <f>+U23</f>
        <v>212.215841375</v>
      </c>
      <c r="I22" s="254">
        <f>+H22/F22-1</f>
        <v>0.57196919537037028</v>
      </c>
      <c r="J22" s="253">
        <v>535</v>
      </c>
      <c r="K22" s="254">
        <v>1.2131519274376417</v>
      </c>
      <c r="L22"/>
      <c r="M22" s="372" t="s">
        <v>317</v>
      </c>
      <c r="N22" s="371">
        <v>1016425</v>
      </c>
      <c r="O22" s="372" t="s">
        <v>317</v>
      </c>
      <c r="P22" s="371">
        <v>1033475</v>
      </c>
      <c r="Q22" s="373" t="s">
        <v>317</v>
      </c>
      <c r="R22" s="374">
        <v>1165149.0294999999</v>
      </c>
      <c r="S22" s="238">
        <f t="shared" si="1"/>
        <v>1016</v>
      </c>
      <c r="T22" s="388">
        <f t="shared" si="2"/>
        <v>1033</v>
      </c>
      <c r="U22" s="239">
        <f t="shared" si="3"/>
        <v>1165.1490294999999</v>
      </c>
      <c r="V22" s="367">
        <f t="shared" si="4"/>
        <v>1038</v>
      </c>
      <c r="W22" s="373" t="s">
        <v>317</v>
      </c>
      <c r="X22" s="403" t="s">
        <v>317</v>
      </c>
      <c r="Y22" s="403">
        <v>284185</v>
      </c>
      <c r="Z22" s="403">
        <v>732240</v>
      </c>
      <c r="AA22" s="402">
        <f t="shared" si="5"/>
        <v>1016425</v>
      </c>
      <c r="AB22" s="453">
        <v>262630.26</v>
      </c>
      <c r="AC22" s="453">
        <v>775280</v>
      </c>
      <c r="AD22" s="453">
        <f t="shared" si="0"/>
        <v>1037910.26</v>
      </c>
      <c r="AE22" s="59">
        <f t="shared" si="6"/>
        <v>1.0211380672454928</v>
      </c>
      <c r="AF22" s="458" t="s">
        <v>317</v>
      </c>
    </row>
    <row r="23" spans="1:32" ht="16.5" x14ac:dyDescent="0.25">
      <c r="B23" s="116" t="s">
        <v>426</v>
      </c>
      <c r="C23" s="6">
        <f>+S21</f>
        <v>147</v>
      </c>
      <c r="D23" s="6">
        <f>+T21</f>
        <v>92</v>
      </c>
      <c r="E23" s="205">
        <f>+D23/$D$13</f>
        <v>1.8589938983576899E-3</v>
      </c>
      <c r="F23" s="6">
        <f>+V21</f>
        <v>77</v>
      </c>
      <c r="G23" s="205">
        <f>F23/D23</f>
        <v>0.83695652173913049</v>
      </c>
      <c r="H23" s="150">
        <f>+U21</f>
        <v>120.09391925000001</v>
      </c>
      <c r="I23" s="254">
        <f>+H23/F23-1</f>
        <v>0.55966128896103906</v>
      </c>
      <c r="J23" s="255">
        <v>420</v>
      </c>
      <c r="K23" s="254">
        <v>1</v>
      </c>
      <c r="L23"/>
      <c r="M23" s="372" t="s">
        <v>318</v>
      </c>
      <c r="N23" s="371">
        <v>176785</v>
      </c>
      <c r="O23" s="372" t="s">
        <v>318</v>
      </c>
      <c r="P23" s="371">
        <v>178620</v>
      </c>
      <c r="Q23" s="373" t="s">
        <v>318</v>
      </c>
      <c r="R23" s="374">
        <v>212215.84137499999</v>
      </c>
      <c r="S23" s="238">
        <f t="shared" si="1"/>
        <v>177</v>
      </c>
      <c r="T23" s="389">
        <f t="shared" si="2"/>
        <v>179</v>
      </c>
      <c r="U23" s="239">
        <f t="shared" si="3"/>
        <v>212.215841375</v>
      </c>
      <c r="V23" s="367">
        <f t="shared" si="4"/>
        <v>135</v>
      </c>
      <c r="W23" s="373" t="s">
        <v>318</v>
      </c>
      <c r="X23" s="403" t="s">
        <v>318</v>
      </c>
      <c r="Y23" s="403">
        <v>164950</v>
      </c>
      <c r="Z23" s="403">
        <v>11835</v>
      </c>
      <c r="AA23" s="402">
        <f t="shared" si="5"/>
        <v>176785</v>
      </c>
      <c r="AB23" s="452">
        <v>134709.1</v>
      </c>
      <c r="AC23" s="453"/>
      <c r="AD23" s="453">
        <f t="shared" si="0"/>
        <v>134709.1</v>
      </c>
      <c r="AE23" s="59">
        <f t="shared" si="6"/>
        <v>0.76199394745029281</v>
      </c>
      <c r="AF23" s="458" t="s">
        <v>318</v>
      </c>
    </row>
    <row r="24" spans="1:32" ht="16.5" x14ac:dyDescent="0.25">
      <c r="B24" s="128" t="s">
        <v>17</v>
      </c>
      <c r="C24" s="30">
        <f>+C22+C21+C20+C23</f>
        <v>2296</v>
      </c>
      <c r="D24" s="30">
        <f>+D22+D21+D20+D23</f>
        <v>1534</v>
      </c>
      <c r="E24" s="153">
        <f>D24/D13</f>
        <v>3.0996702609572786E-2</v>
      </c>
      <c r="F24" s="30">
        <f>+F21+F20+F22+F23</f>
        <v>1154</v>
      </c>
      <c r="G24" s="31">
        <f>F24/D24</f>
        <v>0.75228161668839633</v>
      </c>
      <c r="H24" s="202">
        <f>+H21+H20+H22+H23</f>
        <v>1584.4491665000003</v>
      </c>
      <c r="I24" s="120">
        <f>+H24/F24-1</f>
        <v>0.37300621013864843</v>
      </c>
      <c r="J24" s="255"/>
      <c r="K24" s="254"/>
      <c r="L24"/>
      <c r="M24" s="372" t="s">
        <v>319</v>
      </c>
      <c r="N24" s="371">
        <v>277575</v>
      </c>
      <c r="O24" s="372" t="s">
        <v>319</v>
      </c>
      <c r="P24" s="371">
        <v>275950</v>
      </c>
      <c r="Q24" s="373" t="s">
        <v>319</v>
      </c>
      <c r="R24" s="374">
        <v>173007.493625</v>
      </c>
      <c r="S24" s="238">
        <f t="shared" si="1"/>
        <v>278</v>
      </c>
      <c r="T24" s="388">
        <f t="shared" si="2"/>
        <v>276</v>
      </c>
      <c r="U24" s="239">
        <f t="shared" si="3"/>
        <v>173.007493625</v>
      </c>
      <c r="V24" s="367">
        <f t="shared" si="4"/>
        <v>243</v>
      </c>
      <c r="W24" s="373" t="s">
        <v>319</v>
      </c>
      <c r="X24" s="403" t="s">
        <v>319</v>
      </c>
      <c r="Y24" s="403">
        <v>119215</v>
      </c>
      <c r="Z24" s="403">
        <v>158360</v>
      </c>
      <c r="AA24" s="402">
        <f t="shared" si="5"/>
        <v>277575</v>
      </c>
      <c r="AB24" s="452">
        <v>61187.31</v>
      </c>
      <c r="AC24" s="453">
        <v>181545</v>
      </c>
      <c r="AD24" s="453">
        <f t="shared" si="0"/>
        <v>242732.31</v>
      </c>
      <c r="AE24" s="59">
        <f t="shared" si="6"/>
        <v>0.87447468251823834</v>
      </c>
      <c r="AF24" s="458" t="s">
        <v>319</v>
      </c>
    </row>
    <row r="25" spans="1:32" ht="17.25" thickBot="1" x14ac:dyDescent="0.3">
      <c r="B25" s="116" t="s">
        <v>18</v>
      </c>
      <c r="C25" s="21"/>
      <c r="D25" s="21"/>
      <c r="E25" s="64"/>
      <c r="F25" s="21"/>
      <c r="G25" s="21"/>
      <c r="H25" s="21"/>
      <c r="I25" s="130"/>
      <c r="J25" s="257">
        <v>2505</v>
      </c>
      <c r="K25" s="120">
        <v>1.6622428666224287</v>
      </c>
      <c r="L25"/>
      <c r="M25" s="372" t="s">
        <v>320</v>
      </c>
      <c r="N25" s="371">
        <v>906360</v>
      </c>
      <c r="O25" s="372" t="s">
        <v>320</v>
      </c>
      <c r="P25" s="371">
        <v>892630</v>
      </c>
      <c r="Q25" s="373" t="s">
        <v>320</v>
      </c>
      <c r="R25" s="374">
        <v>758662.19675</v>
      </c>
      <c r="S25" s="238">
        <f t="shared" si="1"/>
        <v>906</v>
      </c>
      <c r="T25" s="388">
        <f t="shared" si="2"/>
        <v>893</v>
      </c>
      <c r="U25" s="239">
        <f t="shared" si="3"/>
        <v>758.66219675000002</v>
      </c>
      <c r="V25" s="367">
        <f t="shared" si="4"/>
        <v>481</v>
      </c>
      <c r="W25" s="373" t="s">
        <v>320</v>
      </c>
      <c r="X25" s="403" t="s">
        <v>320</v>
      </c>
      <c r="Y25" s="403">
        <v>215630</v>
      </c>
      <c r="Z25" s="403">
        <v>690730</v>
      </c>
      <c r="AA25" s="402">
        <f t="shared" si="5"/>
        <v>906360</v>
      </c>
      <c r="AB25" s="452">
        <v>133236.40000000002</v>
      </c>
      <c r="AC25" s="453">
        <v>347757</v>
      </c>
      <c r="AD25" s="453">
        <f t="shared" si="0"/>
        <v>480993.4</v>
      </c>
      <c r="AE25" s="59">
        <f t="shared" si="6"/>
        <v>0.53068692351824887</v>
      </c>
      <c r="AF25" s="458" t="s">
        <v>320</v>
      </c>
    </row>
    <row r="26" spans="1:32" ht="16.899999999999999" customHeight="1" thickBot="1" x14ac:dyDescent="0.3">
      <c r="B26" s="116" t="s">
        <v>19</v>
      </c>
      <c r="C26" s="12">
        <f>+S7+S8+S9+S11+S12+S13+S18+S19+S20+S22+S24+S25-(N29/1000)-(N32/1000)+105.5</f>
        <v>5488.0349999999999</v>
      </c>
      <c r="D26" s="12">
        <f>+T7+T8+T9+T11+T12+T13+T18+T19+T20+T22+T24+T25-P32/1000-P29/1000+105.5</f>
        <v>5737.1350000000002</v>
      </c>
      <c r="E26" s="205">
        <f t="shared" ref="E26" si="10">+D26/$D$13</f>
        <v>0.1159271625984168</v>
      </c>
      <c r="F26" s="12">
        <f>+V7+V8+V9+V11+V12+V13+V18+V19+V20+V22+V24+V25</f>
        <v>4670</v>
      </c>
      <c r="G26" s="205">
        <f>F26/D26</f>
        <v>0.81399513868856144</v>
      </c>
      <c r="H26" s="12">
        <f>+U7+U8+U9+U11+U12+U13+U18+U19+U20+U22+U24+U25-R29/1000</f>
        <v>7550.3364656249996</v>
      </c>
      <c r="I26" s="254">
        <f>+H26/F26-1</f>
        <v>0.61677440377408987</v>
      </c>
      <c r="J26" s="252"/>
      <c r="K26" s="130"/>
      <c r="L26"/>
      <c r="M26" s="227"/>
      <c r="N26" s="233"/>
      <c r="O26" s="233"/>
      <c r="P26" s="233"/>
      <c r="Q26" s="233"/>
      <c r="R26" s="233"/>
      <c r="S26" s="227"/>
      <c r="T26" s="229"/>
      <c r="U26" s="386"/>
      <c r="V26" s="386">
        <f>SUM(V7:V25)</f>
        <v>40250</v>
      </c>
      <c r="W26" s="272"/>
      <c r="X26" s="434" t="s">
        <v>45</v>
      </c>
      <c r="Y26" s="435">
        <f>SUM(Y7:Y25)</f>
        <v>4173470</v>
      </c>
      <c r="Z26" s="435">
        <f t="shared" ref="Z26:AD26" si="11">SUM(Z7:Z25)</f>
        <v>48375850</v>
      </c>
      <c r="AA26" s="435">
        <f t="shared" si="11"/>
        <v>52549320</v>
      </c>
      <c r="AB26" s="435">
        <f t="shared" si="11"/>
        <v>3027954.2500000005</v>
      </c>
      <c r="AC26" s="435">
        <f t="shared" si="11"/>
        <v>37220274.850000009</v>
      </c>
      <c r="AD26" s="435">
        <f t="shared" si="11"/>
        <v>40248229.099999994</v>
      </c>
      <c r="AE26" s="436">
        <f t="shared" si="6"/>
        <v>0.76591341429346749</v>
      </c>
    </row>
    <row r="27" spans="1:32" ht="18.75" x14ac:dyDescent="0.3">
      <c r="B27" s="128" t="s">
        <v>20</v>
      </c>
      <c r="C27" s="30">
        <f>+C26</f>
        <v>5488.0349999999999</v>
      </c>
      <c r="D27" s="30">
        <f>+D26</f>
        <v>5737.1350000000002</v>
      </c>
      <c r="E27" s="120">
        <f>D27/D13</f>
        <v>0.1159271625984168</v>
      </c>
      <c r="F27" s="30">
        <f>+F26</f>
        <v>4670</v>
      </c>
      <c r="G27" s="31">
        <f>F27/D27</f>
        <v>0.81399513868856144</v>
      </c>
      <c r="H27" s="30">
        <f>+H26</f>
        <v>7550.3364656249996</v>
      </c>
      <c r="I27" s="120">
        <f>+H27/F27-1</f>
        <v>0.61677440377408987</v>
      </c>
      <c r="J27" s="258">
        <v>5980</v>
      </c>
      <c r="K27" s="254">
        <v>1.7164179104477613</v>
      </c>
      <c r="L27"/>
      <c r="M27" s="429" t="s">
        <v>430</v>
      </c>
      <c r="N27" s="454">
        <f>+M6</f>
        <v>2020</v>
      </c>
      <c r="O27" s="455"/>
      <c r="P27" s="454">
        <f>+O6</f>
        <v>2021</v>
      </c>
      <c r="Q27" s="455"/>
      <c r="R27" s="454">
        <f>+Q6</f>
        <v>2022</v>
      </c>
      <c r="Z27" s="398"/>
      <c r="AA27" s="398"/>
    </row>
    <row r="28" spans="1:32" ht="16.899999999999999" customHeight="1" thickBot="1" x14ac:dyDescent="0.3">
      <c r="B28" s="137" t="s">
        <v>322</v>
      </c>
      <c r="C28" s="282">
        <v>2518</v>
      </c>
      <c r="D28" s="282">
        <f>+P30/1000</f>
        <v>3500</v>
      </c>
      <c r="E28" s="260">
        <f>+D28/D13</f>
        <v>7.072259395925995E-2</v>
      </c>
      <c r="F28" s="282">
        <v>0</v>
      </c>
      <c r="G28" s="260">
        <v>0</v>
      </c>
      <c r="H28" s="282">
        <f>+R30/1000</f>
        <v>3900</v>
      </c>
      <c r="I28" s="120">
        <f>+H28/H13</f>
        <v>6.8510838796356749E-2</v>
      </c>
      <c r="J28" s="256">
        <v>5980</v>
      </c>
      <c r="K28" s="120">
        <v>1.7164179104477613</v>
      </c>
      <c r="L28"/>
      <c r="M28" s="431" t="s">
        <v>305</v>
      </c>
      <c r="N28" s="403">
        <v>2244160</v>
      </c>
      <c r="O28" s="431" t="s">
        <v>305</v>
      </c>
      <c r="P28" s="403">
        <v>3400000</v>
      </c>
      <c r="Q28" s="431" t="s">
        <v>305</v>
      </c>
      <c r="R28" s="403">
        <f>3400000+500000</f>
        <v>3900000</v>
      </c>
      <c r="S28" s="57"/>
      <c r="AC28" s="426"/>
    </row>
    <row r="29" spans="1:32" ht="17.25" thickBot="1" x14ac:dyDescent="0.3">
      <c r="B29" s="20"/>
      <c r="C29" s="70"/>
      <c r="D29" s="70"/>
      <c r="E29" s="20"/>
      <c r="F29" s="20"/>
      <c r="G29" s="20"/>
      <c r="H29" s="20"/>
      <c r="I29" s="20"/>
      <c r="J29" s="259">
        <v>2435</v>
      </c>
      <c r="K29" s="260">
        <v>1</v>
      </c>
      <c r="L29"/>
      <c r="M29" s="430" t="s">
        <v>431</v>
      </c>
      <c r="N29" s="403">
        <v>274160</v>
      </c>
      <c r="O29" s="430" t="s">
        <v>431</v>
      </c>
      <c r="P29" s="403">
        <v>100000</v>
      </c>
      <c r="Q29" s="430" t="s">
        <v>431</v>
      </c>
      <c r="R29" s="403"/>
      <c r="AC29" s="446"/>
    </row>
    <row r="30" spans="1:32" ht="14.45" customHeight="1" x14ac:dyDescent="0.3">
      <c r="B30" s="20"/>
      <c r="C30" s="70"/>
      <c r="D30" s="70"/>
      <c r="E30" s="20"/>
      <c r="F30" s="20"/>
      <c r="G30" s="20" t="s">
        <v>442</v>
      </c>
      <c r="H30" s="460">
        <f>+H26/H13</f>
        <v>0.13263586780889444</v>
      </c>
      <c r="I30" s="20"/>
      <c r="J30" s="20"/>
      <c r="K30" s="20"/>
      <c r="L30" s="66"/>
      <c r="M30" s="431" t="s">
        <v>41</v>
      </c>
      <c r="N30" s="431">
        <f>+N29+N28</f>
        <v>2518320</v>
      </c>
      <c r="O30" s="431" t="s">
        <v>41</v>
      </c>
      <c r="P30" s="431">
        <f>+P29+P28</f>
        <v>3500000</v>
      </c>
      <c r="Q30" s="431" t="s">
        <v>41</v>
      </c>
      <c r="R30" s="431">
        <f>+R29+R28</f>
        <v>3900000</v>
      </c>
    </row>
    <row r="31" spans="1:32" ht="14.45" customHeight="1" x14ac:dyDescent="0.3">
      <c r="B31" s="20"/>
      <c r="C31" s="70"/>
      <c r="D31" s="70"/>
      <c r="E31" s="20"/>
      <c r="F31" s="20"/>
      <c r="G31" s="20" t="s">
        <v>443</v>
      </c>
      <c r="H31" s="460">
        <f>+H26/H9</f>
        <v>0.1787950570845864</v>
      </c>
      <c r="I31" s="20"/>
      <c r="J31" s="20"/>
      <c r="K31" s="20"/>
      <c r="L31" s="66"/>
      <c r="M31" s="432"/>
      <c r="N31" s="432"/>
      <c r="O31" s="432"/>
      <c r="P31" s="432"/>
      <c r="Q31" s="432"/>
      <c r="R31" s="432"/>
    </row>
    <row r="32" spans="1:32" ht="14.45" customHeight="1" x14ac:dyDescent="0.25">
      <c r="B32" s="20"/>
      <c r="C32" s="70"/>
      <c r="D32" s="70"/>
      <c r="E32" s="20"/>
      <c r="F32" s="20"/>
      <c r="G32" s="20"/>
      <c r="H32" s="347"/>
      <c r="I32" s="20"/>
      <c r="J32" s="20"/>
      <c r="K32" s="20"/>
      <c r="L32" s="66"/>
      <c r="M32" s="431" t="s">
        <v>432</v>
      </c>
      <c r="N32" s="433">
        <v>1835305</v>
      </c>
      <c r="O32" s="431" t="s">
        <v>432</v>
      </c>
      <c r="P32" s="433">
        <v>1860365</v>
      </c>
      <c r="Q32" s="431" t="s">
        <v>432</v>
      </c>
      <c r="R32" s="433">
        <v>1985629</v>
      </c>
    </row>
    <row r="33" spans="2:18" ht="14.45" customHeight="1" x14ac:dyDescent="0.25">
      <c r="B33" s="20"/>
      <c r="C33" s="70"/>
      <c r="D33" s="70"/>
      <c r="E33" s="20"/>
      <c r="F33" s="20"/>
      <c r="G33" s="20"/>
      <c r="H33" s="38"/>
      <c r="I33" s="20"/>
      <c r="J33" s="20"/>
      <c r="K33" s="20"/>
      <c r="L33" s="66"/>
    </row>
    <row r="34" spans="2:18" ht="22.5" x14ac:dyDescent="0.3">
      <c r="B34" s="160"/>
      <c r="C34" s="174"/>
      <c r="D34" s="38"/>
      <c r="H34" s="36"/>
      <c r="J34" s="20"/>
      <c r="K34" s="20"/>
      <c r="L34" s="66"/>
      <c r="M34" s="456" t="s">
        <v>433</v>
      </c>
      <c r="N34" s="456">
        <f>+N5-N32+105500</f>
        <v>50819515</v>
      </c>
      <c r="O34" s="457"/>
      <c r="P34" s="456">
        <f>+P5-P32+105500</f>
        <v>49489974</v>
      </c>
      <c r="Q34" s="457"/>
      <c r="R34" s="456">
        <f>+R5-R32+105500</f>
        <v>55045170.244874999</v>
      </c>
    </row>
    <row r="35" spans="2:18" x14ac:dyDescent="0.25">
      <c r="B35" t="s">
        <v>294</v>
      </c>
      <c r="C35" s="36"/>
      <c r="D35" s="38"/>
      <c r="H35" s="20"/>
      <c r="M35" s="38"/>
      <c r="N35" s="38"/>
      <c r="P35" s="36"/>
      <c r="Q35" s="36"/>
      <c r="R35" s="36"/>
    </row>
    <row r="36" spans="2:18" ht="15" hidden="1" customHeight="1" x14ac:dyDescent="0.25">
      <c r="B36" s="176" t="s">
        <v>283</v>
      </c>
      <c r="C36" s="176" t="s">
        <v>280</v>
      </c>
      <c r="D36" s="177" t="s">
        <v>285</v>
      </c>
      <c r="E36" t="s">
        <v>89</v>
      </c>
      <c r="G36" s="177"/>
      <c r="H36" s="187"/>
      <c r="I36" s="177"/>
      <c r="M36" s="38"/>
      <c r="N36" s="38"/>
      <c r="P36" s="36"/>
      <c r="Q36" s="36"/>
      <c r="R36" s="36"/>
    </row>
    <row r="37" spans="2:18" ht="15.75" hidden="1" customHeight="1" thickBot="1" x14ac:dyDescent="0.35">
      <c r="B37" s="161" t="s">
        <v>282</v>
      </c>
      <c r="C37" s="172"/>
      <c r="D37" s="181"/>
      <c r="E37" s="181"/>
      <c r="G37" s="175"/>
      <c r="H37" s="175"/>
      <c r="I37" s="175"/>
      <c r="J37" s="177"/>
      <c r="K37" s="177"/>
      <c r="L37" s="177"/>
      <c r="M37" s="38"/>
      <c r="N37" s="38"/>
      <c r="P37" s="36"/>
      <c r="Q37" s="36"/>
      <c r="R37" s="36"/>
    </row>
    <row r="38" spans="2:18" ht="20.25" hidden="1" customHeight="1" thickBot="1" x14ac:dyDescent="0.3">
      <c r="B38" s="179" t="s">
        <v>88</v>
      </c>
      <c r="C38" s="180">
        <v>13587105</v>
      </c>
      <c r="D38" s="182"/>
      <c r="E38" s="189"/>
      <c r="G38" s="181"/>
      <c r="H38" s="217"/>
      <c r="I38" s="181"/>
      <c r="J38" s="175"/>
      <c r="K38" s="175"/>
      <c r="L38" s="38"/>
      <c r="M38" s="38"/>
      <c r="N38" s="38"/>
      <c r="P38" s="36"/>
      <c r="Q38" s="36"/>
      <c r="R38" s="36"/>
    </row>
    <row r="39" spans="2:18" ht="15" hidden="1" customHeight="1" x14ac:dyDescent="0.25">
      <c r="B39" s="171" t="s">
        <v>42</v>
      </c>
      <c r="C39" s="184">
        <f>1347280*0.56</f>
        <v>754476.8</v>
      </c>
      <c r="D39" s="184"/>
      <c r="E39" s="190"/>
      <c r="G39" s="182"/>
      <c r="H39" s="217"/>
      <c r="I39" s="182"/>
      <c r="J39" s="181"/>
      <c r="K39" s="181"/>
      <c r="L39" s="180"/>
      <c r="M39" s="38"/>
      <c r="N39" s="38"/>
      <c r="P39" s="36"/>
      <c r="Q39" s="36"/>
      <c r="R39" s="36"/>
    </row>
    <row r="40" spans="2:18" hidden="1" x14ac:dyDescent="0.25">
      <c r="B40" s="165" t="s">
        <v>93</v>
      </c>
      <c r="C40" s="38">
        <v>4550718</v>
      </c>
      <c r="D40" s="173"/>
      <c r="E40" s="190"/>
      <c r="G40" s="175"/>
      <c r="H40" s="217"/>
      <c r="I40" s="175"/>
      <c r="J40" s="182"/>
      <c r="K40" s="182"/>
      <c r="L40" s="184"/>
      <c r="M40" s="38"/>
      <c r="N40" s="38"/>
      <c r="P40" s="36"/>
      <c r="Q40" s="36"/>
      <c r="R40" s="36"/>
    </row>
    <row r="41" spans="2:18" hidden="1" x14ac:dyDescent="0.25">
      <c r="C41" s="38"/>
      <c r="D41" s="175"/>
      <c r="E41" s="173"/>
      <c r="G41" s="175"/>
      <c r="H41" s="218"/>
      <c r="I41" s="175"/>
      <c r="J41" s="175"/>
      <c r="K41" s="175"/>
      <c r="L41" s="38"/>
      <c r="M41" s="38"/>
      <c r="N41" s="38"/>
      <c r="P41" s="36"/>
      <c r="Q41" s="36"/>
      <c r="R41" s="36"/>
    </row>
    <row r="42" spans="2:18" ht="20.25" hidden="1" thickBot="1" x14ac:dyDescent="0.35">
      <c r="B42" s="161" t="s">
        <v>284</v>
      </c>
      <c r="C42" s="38"/>
      <c r="D42" s="175"/>
      <c r="E42" s="220"/>
      <c r="G42" s="175"/>
      <c r="H42" s="218"/>
      <c r="I42" s="175"/>
      <c r="J42" s="175"/>
      <c r="K42" s="175"/>
      <c r="L42" s="38"/>
      <c r="M42" s="38"/>
      <c r="N42" s="38"/>
      <c r="P42" s="36"/>
      <c r="Q42" s="36"/>
      <c r="R42" s="36"/>
    </row>
    <row r="43" spans="2:18" hidden="1" x14ac:dyDescent="0.25">
      <c r="B43" s="165" t="s">
        <v>87</v>
      </c>
      <c r="C43" s="38">
        <f>7265929+3420+278</f>
        <v>7269627</v>
      </c>
      <c r="D43" s="175"/>
      <c r="E43" s="173"/>
      <c r="G43" s="175"/>
      <c r="H43" s="217"/>
      <c r="I43" s="175"/>
      <c r="J43" s="175"/>
      <c r="K43" s="175"/>
      <c r="L43" s="38"/>
      <c r="M43" s="38"/>
      <c r="N43" s="38"/>
      <c r="P43" s="36"/>
      <c r="Q43" s="36"/>
      <c r="R43" s="36"/>
    </row>
    <row r="44" spans="2:18" hidden="1" x14ac:dyDescent="0.25">
      <c r="B44" s="164" t="s">
        <v>42</v>
      </c>
      <c r="C44" s="38">
        <f>1347280*0.44</f>
        <v>592803.19999999995</v>
      </c>
      <c r="D44" s="184"/>
      <c r="E44" s="173"/>
      <c r="G44" s="175"/>
      <c r="H44" s="217"/>
      <c r="I44" s="175"/>
      <c r="J44" s="175"/>
      <c r="K44" s="175"/>
      <c r="L44" s="38"/>
      <c r="M44" s="38"/>
      <c r="N44" s="38"/>
      <c r="P44" s="36"/>
      <c r="Q44" s="36"/>
      <c r="R44" s="36"/>
    </row>
    <row r="45" spans="2:18" hidden="1" x14ac:dyDescent="0.25">
      <c r="B45" s="164" t="s">
        <v>94</v>
      </c>
      <c r="C45" s="38">
        <v>710515</v>
      </c>
      <c r="D45" s="175"/>
      <c r="E45" s="190"/>
      <c r="G45" s="175"/>
      <c r="H45" s="217"/>
      <c r="I45" s="175"/>
      <c r="J45" s="175"/>
      <c r="K45" s="175"/>
      <c r="L45" s="38"/>
      <c r="M45" s="38"/>
      <c r="N45" s="38"/>
      <c r="P45" s="36"/>
      <c r="Q45" s="36"/>
      <c r="R45" s="36"/>
    </row>
    <row r="46" spans="2:18" hidden="1" x14ac:dyDescent="0.25">
      <c r="C46" s="38"/>
      <c r="D46" s="175"/>
      <c r="E46" s="173"/>
      <c r="G46" s="175"/>
      <c r="H46" s="218"/>
      <c r="I46" s="175"/>
      <c r="J46" s="175"/>
      <c r="K46" s="175"/>
      <c r="L46" s="38"/>
      <c r="M46" s="38"/>
      <c r="N46" s="38"/>
      <c r="P46" s="36"/>
      <c r="Q46" s="36"/>
      <c r="R46" s="36"/>
    </row>
    <row r="47" spans="2:18" ht="20.25" hidden="1" thickBot="1" x14ac:dyDescent="0.35">
      <c r="B47" s="161" t="s">
        <v>90</v>
      </c>
      <c r="C47" s="38">
        <f>+C43+C40</f>
        <v>11820345</v>
      </c>
      <c r="D47" s="175"/>
      <c r="E47" s="190"/>
      <c r="G47" s="175"/>
      <c r="H47" s="218"/>
      <c r="I47" s="175"/>
      <c r="J47" s="175"/>
      <c r="K47" s="175"/>
      <c r="L47" s="38"/>
      <c r="M47" s="38"/>
      <c r="N47" s="38"/>
      <c r="P47" s="36"/>
      <c r="Q47" s="36"/>
      <c r="R47" s="36"/>
    </row>
    <row r="48" spans="2:18" hidden="1" x14ac:dyDescent="0.25">
      <c r="C48" s="38">
        <v>1154420</v>
      </c>
      <c r="D48" s="175"/>
      <c r="E48" s="173"/>
      <c r="G48" s="175"/>
      <c r="H48" s="217"/>
      <c r="I48" s="175"/>
      <c r="J48" s="175"/>
      <c r="K48" s="175"/>
      <c r="L48" s="38"/>
      <c r="M48" s="38"/>
      <c r="N48" s="38"/>
      <c r="P48" s="36"/>
      <c r="Q48" s="36"/>
      <c r="R48" s="36"/>
    </row>
    <row r="49" spans="2:18" hidden="1" x14ac:dyDescent="0.25">
      <c r="C49" s="38"/>
      <c r="D49" s="175"/>
      <c r="E49" s="173"/>
      <c r="G49" s="175"/>
      <c r="H49" s="218"/>
      <c r="I49" s="175"/>
      <c r="J49" s="175"/>
      <c r="K49" s="175"/>
      <c r="L49" s="38"/>
      <c r="M49" s="38"/>
      <c r="N49" s="38"/>
      <c r="P49" s="36"/>
      <c r="Q49" s="36"/>
      <c r="R49" s="36"/>
    </row>
    <row r="50" spans="2:18" ht="20.25" hidden="1" thickBot="1" x14ac:dyDescent="0.35">
      <c r="B50" s="161" t="s">
        <v>91</v>
      </c>
      <c r="C50" s="38"/>
      <c r="D50" s="175">
        <f>471930+64180</f>
        <v>536110</v>
      </c>
      <c r="E50" s="190"/>
      <c r="G50" s="175"/>
      <c r="H50" s="217"/>
      <c r="I50" s="175"/>
      <c r="J50" s="175"/>
      <c r="K50" s="175"/>
      <c r="L50" s="38"/>
      <c r="M50" s="38"/>
      <c r="N50" s="38"/>
      <c r="P50" s="36"/>
      <c r="Q50" s="36"/>
      <c r="R50" s="36"/>
    </row>
    <row r="51" spans="2:18" hidden="1" x14ac:dyDescent="0.25">
      <c r="C51" s="38"/>
      <c r="D51" s="175"/>
      <c r="E51" s="173"/>
      <c r="G51" s="175"/>
      <c r="H51" s="218"/>
      <c r="I51" s="175"/>
      <c r="J51" s="175"/>
      <c r="K51" s="175"/>
      <c r="L51" s="38"/>
      <c r="M51" s="38"/>
      <c r="N51" s="38"/>
      <c r="P51" s="36"/>
      <c r="Q51" s="36"/>
      <c r="R51" s="36"/>
    </row>
    <row r="52" spans="2:18" ht="20.25" hidden="1" thickBot="1" x14ac:dyDescent="0.35">
      <c r="B52" s="161" t="s">
        <v>287</v>
      </c>
      <c r="C52" s="38">
        <v>335130</v>
      </c>
      <c r="D52" s="175"/>
      <c r="E52" s="173"/>
      <c r="G52" s="175"/>
      <c r="H52" s="217"/>
      <c r="I52" s="175"/>
      <c r="J52" s="175"/>
      <c r="K52" s="175"/>
      <c r="L52" s="38"/>
      <c r="M52" s="38"/>
      <c r="N52" s="38"/>
      <c r="P52" s="36"/>
      <c r="Q52" s="36"/>
      <c r="R52" s="36"/>
    </row>
    <row r="53" spans="2:18" hidden="1" x14ac:dyDescent="0.25">
      <c r="C53" s="38"/>
      <c r="D53" s="175"/>
      <c r="E53" s="175"/>
      <c r="G53" s="175"/>
      <c r="H53" s="218"/>
      <c r="I53" s="175"/>
      <c r="J53" s="175"/>
      <c r="K53" s="175"/>
      <c r="L53" s="38"/>
      <c r="M53" s="38"/>
      <c r="N53" s="38"/>
      <c r="P53" s="36"/>
      <c r="Q53" s="36"/>
      <c r="R53" s="36"/>
    </row>
    <row r="54" spans="2:18" hidden="1" x14ac:dyDescent="0.25">
      <c r="B54" s="188" t="s">
        <v>13</v>
      </c>
      <c r="C54" s="38">
        <f>SUM(C38:C52)</f>
        <v>40775140</v>
      </c>
      <c r="D54" s="38">
        <f>SUM(D38:D52)</f>
        <v>536110</v>
      </c>
      <c r="E54" s="40">
        <f>SUM(E38:E52)</f>
        <v>0</v>
      </c>
      <c r="G54" s="175"/>
      <c r="H54" s="219"/>
      <c r="I54" s="175"/>
      <c r="J54" s="175"/>
      <c r="K54" s="175"/>
      <c r="L54" s="38"/>
      <c r="M54" s="38"/>
      <c r="N54" s="38"/>
      <c r="P54" s="36"/>
      <c r="Q54" s="36"/>
      <c r="R54" s="36"/>
    </row>
    <row r="55" spans="2:18" hidden="1" x14ac:dyDescent="0.25">
      <c r="C55" s="38"/>
      <c r="D55" s="185"/>
      <c r="E55" s="175"/>
      <c r="G55" s="175"/>
      <c r="H55" s="218"/>
      <c r="I55" s="175"/>
      <c r="J55" s="175"/>
      <c r="K55" s="175"/>
      <c r="L55" s="38"/>
      <c r="M55" s="38"/>
      <c r="N55" s="38"/>
      <c r="P55" s="36"/>
      <c r="Q55" s="36"/>
      <c r="R55" s="36"/>
    </row>
    <row r="56" spans="2:18" hidden="1" x14ac:dyDescent="0.25">
      <c r="B56" s="188" t="s">
        <v>92</v>
      </c>
      <c r="C56" s="38">
        <f>560140+51525+27720+217720+105285+760620+247150+494900+578740+276155+757605-20000+41410</f>
        <v>4098970</v>
      </c>
      <c r="D56" s="175"/>
      <c r="E56" s="175"/>
      <c r="G56" s="175"/>
      <c r="H56" s="217"/>
      <c r="I56" s="175"/>
      <c r="J56" s="175"/>
      <c r="K56" s="175"/>
      <c r="L56" s="38"/>
      <c r="M56" s="38"/>
      <c r="N56" s="38"/>
      <c r="P56" s="36"/>
      <c r="Q56" s="36"/>
      <c r="R56" s="36"/>
    </row>
    <row r="57" spans="2:18" hidden="1" x14ac:dyDescent="0.25">
      <c r="C57" s="38"/>
      <c r="D57" s="175"/>
      <c r="E57" s="175"/>
      <c r="G57" s="175"/>
      <c r="H57" s="175"/>
      <c r="I57" s="175"/>
      <c r="J57" s="175"/>
      <c r="K57" s="175"/>
      <c r="L57" s="38"/>
      <c r="M57" s="40"/>
      <c r="N57" s="36"/>
      <c r="P57" s="36"/>
      <c r="Q57" s="36"/>
      <c r="R57" s="36"/>
    </row>
    <row r="58" spans="2:18" hidden="1" x14ac:dyDescent="0.25">
      <c r="C58" s="38"/>
      <c r="D58" s="185"/>
      <c r="E58" s="175"/>
      <c r="G58" s="175"/>
      <c r="H58" s="175"/>
      <c r="I58" s="175"/>
      <c r="J58" s="175"/>
      <c r="K58" s="175"/>
      <c r="L58" s="38"/>
      <c r="M58" s="38"/>
      <c r="N58" s="38"/>
      <c r="P58" s="36"/>
      <c r="Q58" s="36"/>
      <c r="R58" s="36"/>
    </row>
    <row r="59" spans="2:18" hidden="1" x14ac:dyDescent="0.25">
      <c r="B59" s="188" t="s">
        <v>288</v>
      </c>
      <c r="D59" s="175"/>
      <c r="E59" s="175"/>
      <c r="G59" s="175"/>
      <c r="H59" s="175"/>
      <c r="I59" s="175"/>
      <c r="J59" s="175"/>
      <c r="K59" s="175"/>
      <c r="L59" s="38"/>
      <c r="M59" s="183"/>
      <c r="N59" s="183"/>
      <c r="P59" s="36"/>
      <c r="Q59" s="36"/>
      <c r="R59" s="36"/>
    </row>
    <row r="60" spans="2:18" hidden="1" x14ac:dyDescent="0.25">
      <c r="C60" s="38"/>
      <c r="D60" s="175"/>
      <c r="E60" s="175"/>
      <c r="G60" s="175"/>
      <c r="H60" s="175"/>
      <c r="I60" s="175"/>
      <c r="J60" s="175"/>
      <c r="K60" s="175"/>
      <c r="L60" s="38"/>
      <c r="M60" s="186"/>
      <c r="N60" s="186"/>
      <c r="P60" s="36"/>
      <c r="Q60" s="36"/>
      <c r="R60" s="36"/>
    </row>
    <row r="61" spans="2:18" hidden="1" x14ac:dyDescent="0.25">
      <c r="C61" s="38"/>
      <c r="D61" s="175"/>
      <c r="E61" s="175"/>
      <c r="G61" s="175"/>
      <c r="H61" s="175"/>
      <c r="I61" s="175"/>
      <c r="J61" s="175"/>
      <c r="K61" s="175"/>
      <c r="L61" s="38"/>
      <c r="M61" s="38"/>
      <c r="N61" s="38"/>
      <c r="P61" s="36"/>
      <c r="Q61" s="36"/>
      <c r="R61" s="36"/>
    </row>
    <row r="62" spans="2:18" hidden="1" x14ac:dyDescent="0.25">
      <c r="C62" s="38"/>
      <c r="D62" s="175"/>
      <c r="E62" s="175"/>
      <c r="G62" s="175"/>
      <c r="H62" s="175"/>
      <c r="I62" s="175"/>
      <c r="J62" s="175"/>
      <c r="K62" s="175"/>
      <c r="L62" s="38"/>
      <c r="M62" s="38"/>
      <c r="N62" s="38"/>
      <c r="P62" s="36"/>
      <c r="Q62" s="36"/>
      <c r="R62" s="36"/>
    </row>
    <row r="63" spans="2:18" ht="22.5" hidden="1" x14ac:dyDescent="0.3">
      <c r="B63" s="160">
        <v>2013</v>
      </c>
      <c r="C63" s="38"/>
      <c r="D63" s="175"/>
      <c r="E63" s="175"/>
      <c r="G63" s="175"/>
      <c r="H63" s="175"/>
      <c r="I63" s="175"/>
      <c r="J63" s="175"/>
      <c r="K63" s="175"/>
      <c r="L63" s="38"/>
      <c r="M63" s="38"/>
      <c r="N63" s="38"/>
      <c r="P63" s="36"/>
      <c r="Q63" s="36"/>
      <c r="R63" s="36"/>
    </row>
    <row r="64" spans="2:18" hidden="1" x14ac:dyDescent="0.25">
      <c r="C64" s="38"/>
      <c r="D64" s="38"/>
      <c r="E64" s="38"/>
      <c r="G64" s="38"/>
      <c r="H64" s="38"/>
      <c r="I64" s="38"/>
      <c r="J64" s="175"/>
      <c r="K64" s="175"/>
      <c r="L64" s="38"/>
      <c r="M64" s="38"/>
      <c r="N64" s="38"/>
      <c r="P64" s="36"/>
      <c r="Q64" s="36"/>
      <c r="R64" s="36"/>
    </row>
    <row r="65" spans="2:18" ht="15.75" hidden="1" thickBot="1" x14ac:dyDescent="0.3">
      <c r="B65" s="176" t="s">
        <v>283</v>
      </c>
      <c r="C65" s="176" t="s">
        <v>280</v>
      </c>
      <c r="D65" s="177" t="s">
        <v>285</v>
      </c>
      <c r="E65" t="s">
        <v>89</v>
      </c>
      <c r="G65" s="177"/>
      <c r="H65" s="187"/>
      <c r="I65" s="177"/>
      <c r="J65" s="38"/>
      <c r="K65" s="38"/>
      <c r="L65" s="38"/>
      <c r="M65" s="38"/>
      <c r="N65" s="38"/>
      <c r="P65" s="36"/>
      <c r="Q65" s="36"/>
      <c r="R65" s="36"/>
    </row>
    <row r="66" spans="2:18" ht="20.25" hidden="1" thickBot="1" x14ac:dyDescent="0.35">
      <c r="B66" s="161" t="s">
        <v>282</v>
      </c>
      <c r="C66" s="172"/>
      <c r="D66" s="181"/>
      <c r="E66" s="181"/>
      <c r="G66" s="175"/>
      <c r="H66" s="175"/>
      <c r="I66" s="175"/>
      <c r="J66" s="177"/>
      <c r="K66" s="177"/>
      <c r="L66" s="177"/>
      <c r="M66" s="38"/>
      <c r="N66" s="38"/>
      <c r="P66" s="36"/>
      <c r="Q66" s="36"/>
      <c r="R66" s="36"/>
    </row>
    <row r="67" spans="2:18" hidden="1" x14ac:dyDescent="0.25">
      <c r="B67" s="179" t="s">
        <v>88</v>
      </c>
      <c r="C67" s="180">
        <v>11889000</v>
      </c>
      <c r="D67" s="182"/>
      <c r="E67" s="189"/>
      <c r="G67" s="181"/>
      <c r="H67" s="181"/>
      <c r="I67" s="181"/>
      <c r="J67" s="175"/>
      <c r="K67" s="175"/>
      <c r="L67" s="38"/>
      <c r="M67" s="38"/>
      <c r="N67" s="38"/>
      <c r="P67" s="36"/>
      <c r="Q67" s="36"/>
      <c r="R67" s="36"/>
    </row>
    <row r="68" spans="2:18" hidden="1" x14ac:dyDescent="0.25">
      <c r="B68" s="171" t="s">
        <v>42</v>
      </c>
      <c r="C68" s="184">
        <f>121833+374236*0.22</f>
        <v>204164.91999999998</v>
      </c>
      <c r="D68" s="184">
        <f>+C63*(C68/(C68+C73))</f>
        <v>0</v>
      </c>
      <c r="E68" s="190"/>
      <c r="G68" s="182"/>
      <c r="H68" s="181"/>
      <c r="I68" s="182"/>
      <c r="J68" s="181"/>
      <c r="K68" s="181"/>
      <c r="L68" s="183"/>
      <c r="M68" s="38"/>
      <c r="N68" s="38"/>
      <c r="P68" s="36"/>
      <c r="Q68" s="36"/>
      <c r="R68" s="36"/>
    </row>
    <row r="69" spans="2:18" hidden="1" x14ac:dyDescent="0.25">
      <c r="B69" s="165" t="s">
        <v>93</v>
      </c>
      <c r="C69" s="38">
        <v>3959335</v>
      </c>
      <c r="D69" s="175">
        <v>99451.407910567854</v>
      </c>
      <c r="E69" s="190"/>
      <c r="G69" s="175"/>
      <c r="H69" s="181"/>
      <c r="I69" s="175"/>
      <c r="J69" s="182"/>
      <c r="K69" s="182"/>
      <c r="L69" s="186"/>
      <c r="M69" s="212"/>
      <c r="N69" s="212"/>
      <c r="P69" s="36"/>
      <c r="Q69" s="36"/>
      <c r="R69" s="36"/>
    </row>
    <row r="70" spans="2:18" hidden="1" x14ac:dyDescent="0.25">
      <c r="C70" s="38"/>
      <c r="D70" s="175"/>
      <c r="E70" s="173"/>
      <c r="G70" s="175"/>
      <c r="H70" s="175"/>
      <c r="I70" s="175"/>
      <c r="J70" s="175"/>
      <c r="K70" s="175"/>
      <c r="L70" s="38"/>
      <c r="M70" s="38"/>
      <c r="N70" s="38"/>
      <c r="P70" s="36"/>
      <c r="Q70" s="36"/>
      <c r="R70" s="36"/>
    </row>
    <row r="71" spans="2:18" ht="20.25" hidden="1" thickBot="1" x14ac:dyDescent="0.35">
      <c r="B71" s="161" t="s">
        <v>284</v>
      </c>
      <c r="C71" s="38"/>
      <c r="D71" s="175"/>
      <c r="E71" s="173"/>
      <c r="G71" s="175"/>
      <c r="H71" s="175"/>
      <c r="I71" s="175"/>
      <c r="J71" s="175"/>
      <c r="K71" s="175"/>
      <c r="L71" s="38"/>
      <c r="M71" s="38"/>
      <c r="N71" s="38"/>
      <c r="P71" s="36"/>
      <c r="Q71" s="36"/>
      <c r="R71" s="36"/>
    </row>
    <row r="72" spans="2:18" hidden="1" x14ac:dyDescent="0.25">
      <c r="B72" s="165" t="s">
        <v>87</v>
      </c>
      <c r="C72" s="38">
        <v>6333121</v>
      </c>
      <c r="D72" s="175">
        <v>159076.66310579513</v>
      </c>
      <c r="E72" s="173"/>
      <c r="G72" s="175"/>
      <c r="H72" s="181"/>
      <c r="I72" s="175"/>
      <c r="J72" s="175"/>
      <c r="K72" s="175"/>
      <c r="L72" s="38"/>
      <c r="M72" s="38"/>
      <c r="N72" s="38"/>
      <c r="P72" s="36"/>
      <c r="Q72" s="36"/>
      <c r="R72" s="36"/>
    </row>
    <row r="73" spans="2:18" hidden="1" x14ac:dyDescent="0.25">
      <c r="B73" s="164" t="s">
        <v>42</v>
      </c>
      <c r="C73" s="38">
        <f>428085+374236*0.78</f>
        <v>719989.08000000007</v>
      </c>
      <c r="D73" s="184">
        <v>0</v>
      </c>
      <c r="E73" s="173"/>
      <c r="G73" s="175"/>
      <c r="H73" s="181"/>
      <c r="I73" s="175"/>
      <c r="J73" s="175"/>
      <c r="K73" s="175"/>
      <c r="L73" s="38"/>
      <c r="M73" s="38"/>
      <c r="N73" s="38"/>
      <c r="P73" s="36"/>
      <c r="Q73" s="36"/>
      <c r="R73" s="36"/>
    </row>
    <row r="74" spans="2:18" hidden="1" x14ac:dyDescent="0.25">
      <c r="B74" s="164" t="s">
        <v>94</v>
      </c>
      <c r="C74" s="38">
        <v>1093427</v>
      </c>
      <c r="D74" s="175">
        <v>27464.928983637019</v>
      </c>
      <c r="E74" s="190"/>
      <c r="G74" s="175"/>
      <c r="H74" s="181"/>
      <c r="I74" s="175"/>
      <c r="J74" s="175"/>
      <c r="K74" s="175"/>
      <c r="L74" s="38"/>
      <c r="M74" s="38"/>
      <c r="N74" s="38"/>
      <c r="P74" s="36"/>
      <c r="Q74" s="36"/>
      <c r="R74" s="36"/>
    </row>
    <row r="75" spans="2:18" hidden="1" x14ac:dyDescent="0.25">
      <c r="C75" s="38"/>
      <c r="D75" s="175"/>
      <c r="E75" s="173"/>
      <c r="G75" s="175"/>
      <c r="H75" s="175"/>
      <c r="I75" s="175"/>
      <c r="J75" s="175"/>
      <c r="K75" s="175"/>
      <c r="L75" s="38"/>
      <c r="M75" s="38"/>
      <c r="N75" s="38"/>
      <c r="P75" s="36"/>
      <c r="Q75" s="36"/>
      <c r="R75" s="36"/>
    </row>
    <row r="76" spans="2:18" ht="20.25" hidden="1" thickBot="1" x14ac:dyDescent="0.35">
      <c r="B76" s="161" t="s">
        <v>90</v>
      </c>
      <c r="C76" s="38"/>
      <c r="D76" s="175"/>
      <c r="E76" s="190"/>
      <c r="G76" s="175"/>
      <c r="H76" s="175"/>
      <c r="I76" s="175"/>
      <c r="J76" s="175"/>
      <c r="K76" s="175"/>
      <c r="L76" s="38"/>
      <c r="M76" s="38"/>
      <c r="N76" s="38"/>
      <c r="P76" s="36"/>
      <c r="Q76" s="36"/>
      <c r="R76" s="36"/>
    </row>
    <row r="77" spans="2:18" hidden="1" x14ac:dyDescent="0.25">
      <c r="B77" s="211"/>
      <c r="C77" s="212">
        <v>539705</v>
      </c>
      <c r="D77" s="213">
        <v>167295</v>
      </c>
      <c r="E77" s="214"/>
      <c r="G77" s="213"/>
      <c r="H77" s="215"/>
      <c r="I77" s="213"/>
      <c r="J77" s="175"/>
      <c r="K77" s="175"/>
      <c r="L77" s="38"/>
      <c r="M77" s="38"/>
      <c r="N77" s="38"/>
      <c r="P77" s="36"/>
      <c r="Q77" s="36"/>
      <c r="R77" s="36"/>
    </row>
    <row r="78" spans="2:18" hidden="1" x14ac:dyDescent="0.25">
      <c r="C78" s="38"/>
      <c r="D78" s="175"/>
      <c r="E78" s="173"/>
      <c r="G78" s="175"/>
      <c r="H78" s="175"/>
      <c r="I78" s="175"/>
      <c r="J78" s="213"/>
      <c r="K78" s="213"/>
      <c r="L78" s="212"/>
      <c r="M78" s="38"/>
      <c r="N78" s="38"/>
      <c r="P78" s="36"/>
      <c r="Q78" s="36"/>
      <c r="R78" s="36"/>
    </row>
    <row r="79" spans="2:18" ht="20.25" hidden="1" thickBot="1" x14ac:dyDescent="0.35">
      <c r="B79" s="161" t="s">
        <v>91</v>
      </c>
      <c r="C79" s="38"/>
      <c r="D79" s="175"/>
      <c r="E79" s="190"/>
      <c r="G79" s="175"/>
      <c r="H79" s="181"/>
      <c r="I79" s="175"/>
      <c r="J79" s="175"/>
      <c r="K79" s="175"/>
      <c r="L79" s="38"/>
      <c r="M79" s="38"/>
      <c r="N79" s="38"/>
      <c r="P79" s="36"/>
      <c r="Q79" s="36"/>
      <c r="R79" s="36"/>
    </row>
    <row r="80" spans="2:18" hidden="1" x14ac:dyDescent="0.25">
      <c r="C80" s="38">
        <v>167200</v>
      </c>
      <c r="D80" s="175">
        <v>120909</v>
      </c>
      <c r="E80" s="173"/>
      <c r="G80" s="175"/>
      <c r="H80" s="181"/>
      <c r="I80" s="175"/>
      <c r="J80" s="175"/>
      <c r="K80" s="175"/>
      <c r="L80" s="38"/>
      <c r="M80" s="38"/>
      <c r="N80" s="38"/>
      <c r="P80" s="36"/>
      <c r="Q80" s="36"/>
      <c r="R80" s="36"/>
    </row>
    <row r="81" spans="2:18" ht="20.25" hidden="1" thickBot="1" x14ac:dyDescent="0.35">
      <c r="B81" s="161" t="s">
        <v>287</v>
      </c>
      <c r="C81" s="38"/>
      <c r="D81" s="175"/>
      <c r="E81" s="173"/>
      <c r="G81" s="175"/>
      <c r="H81" s="181"/>
      <c r="I81" s="175"/>
      <c r="J81" s="175"/>
      <c r="K81" s="175"/>
      <c r="L81" s="38"/>
      <c r="P81" s="36"/>
      <c r="Q81" s="36"/>
      <c r="R81" s="36"/>
    </row>
    <row r="82" spans="2:18" hidden="1" x14ac:dyDescent="0.25">
      <c r="C82" s="38"/>
      <c r="D82" s="175"/>
      <c r="E82" s="175"/>
      <c r="G82" s="175"/>
      <c r="H82" s="175"/>
      <c r="I82" s="175"/>
      <c r="J82" s="175"/>
      <c r="K82" s="175"/>
      <c r="L82" s="38"/>
      <c r="P82" s="36"/>
      <c r="Q82" s="36"/>
      <c r="R82" s="36"/>
    </row>
    <row r="83" spans="2:18" hidden="1" x14ac:dyDescent="0.25">
      <c r="B83" s="188" t="s">
        <v>13</v>
      </c>
      <c r="C83" s="38">
        <f>SUM(C67:C81)</f>
        <v>24905942</v>
      </c>
      <c r="D83" s="38">
        <f>SUM(D67:D81)</f>
        <v>574197</v>
      </c>
      <c r="E83" s="40">
        <f>SUM(E67:E81)</f>
        <v>0</v>
      </c>
      <c r="G83" s="175"/>
      <c r="H83" s="38"/>
      <c r="I83" s="175"/>
      <c r="J83" s="175"/>
      <c r="K83" s="175"/>
      <c r="L83" s="38"/>
      <c r="P83" s="36"/>
      <c r="Q83" s="36"/>
      <c r="R83" s="36"/>
    </row>
    <row r="84" spans="2:18" hidden="1" x14ac:dyDescent="0.25">
      <c r="C84" s="38"/>
      <c r="D84" s="185"/>
      <c r="E84" s="175"/>
      <c r="G84" s="175"/>
      <c r="H84" s="175"/>
      <c r="I84" s="175"/>
      <c r="J84" s="175"/>
      <c r="K84" s="175"/>
      <c r="L84" s="38"/>
      <c r="M84" s="38"/>
      <c r="N84" s="38"/>
      <c r="P84" s="36"/>
      <c r="Q84" s="36"/>
      <c r="R84" s="36"/>
    </row>
    <row r="85" spans="2:18" hidden="1" x14ac:dyDescent="0.25">
      <c r="B85" s="188" t="s">
        <v>92</v>
      </c>
      <c r="C85" s="38">
        <v>3284000</v>
      </c>
      <c r="D85" s="175"/>
      <c r="E85" s="175"/>
      <c r="G85" s="175"/>
      <c r="H85" s="181"/>
      <c r="I85" s="175"/>
      <c r="J85" s="175"/>
      <c r="K85" s="175"/>
      <c r="L85" s="38"/>
      <c r="M85" s="38"/>
      <c r="N85" s="38"/>
      <c r="P85" s="36"/>
      <c r="Q85" s="36"/>
      <c r="R85" s="36"/>
    </row>
    <row r="86" spans="2:18" hidden="1" x14ac:dyDescent="0.25">
      <c r="C86" s="38"/>
      <c r="D86" s="175"/>
      <c r="E86" s="175"/>
      <c r="G86" s="175"/>
      <c r="H86" s="175"/>
      <c r="I86" s="175"/>
      <c r="J86" s="175"/>
      <c r="K86" s="175"/>
      <c r="L86" s="38"/>
      <c r="M86" s="40"/>
      <c r="N86" s="36"/>
      <c r="P86" s="36"/>
      <c r="Q86" s="36"/>
      <c r="R86" s="36"/>
    </row>
    <row r="87" spans="2:18" hidden="1" x14ac:dyDescent="0.25">
      <c r="C87" s="38"/>
      <c r="D87" s="185"/>
      <c r="E87" s="175"/>
      <c r="G87" s="175"/>
      <c r="H87" s="175"/>
      <c r="I87" s="175"/>
      <c r="J87" s="175"/>
      <c r="K87" s="175"/>
      <c r="L87" s="38"/>
      <c r="M87" s="38"/>
      <c r="N87" s="38"/>
      <c r="P87" s="36"/>
      <c r="Q87" s="36"/>
      <c r="R87" s="36"/>
    </row>
    <row r="88" spans="2:18" hidden="1" x14ac:dyDescent="0.25">
      <c r="B88" s="188" t="s">
        <v>288</v>
      </c>
      <c r="C88" s="38"/>
      <c r="D88" s="175"/>
      <c r="E88" s="175"/>
      <c r="G88" s="175"/>
      <c r="H88" s="175"/>
      <c r="I88" s="175"/>
      <c r="J88" s="175"/>
      <c r="K88" s="175"/>
      <c r="L88" s="38"/>
      <c r="M88" s="183"/>
      <c r="N88" s="183"/>
      <c r="P88" s="36"/>
      <c r="Q88" s="36"/>
      <c r="R88" s="36"/>
    </row>
    <row r="89" spans="2:18" hidden="1" x14ac:dyDescent="0.25">
      <c r="J89" s="175"/>
      <c r="K89" s="175"/>
      <c r="L89" s="38"/>
      <c r="M89" s="186"/>
      <c r="N89" s="186"/>
      <c r="P89" s="36"/>
      <c r="Q89" s="36"/>
      <c r="R89" s="36"/>
    </row>
    <row r="90" spans="2:18" hidden="1" x14ac:dyDescent="0.25">
      <c r="M90" s="38"/>
      <c r="N90" s="38"/>
      <c r="P90" s="36"/>
      <c r="Q90" s="36"/>
      <c r="R90" s="36"/>
    </row>
    <row r="91" spans="2:18" hidden="1" x14ac:dyDescent="0.25">
      <c r="M91" s="38"/>
      <c r="N91" s="38"/>
      <c r="P91" s="36"/>
      <c r="Q91" s="36"/>
      <c r="R91" s="36"/>
    </row>
    <row r="92" spans="2:18" ht="22.5" hidden="1" x14ac:dyDescent="0.3">
      <c r="B92" s="160" t="s">
        <v>289</v>
      </c>
      <c r="C92" s="38"/>
      <c r="D92" s="175"/>
      <c r="E92" s="175"/>
      <c r="G92" s="175"/>
      <c r="H92" s="175"/>
      <c r="I92" s="175"/>
      <c r="M92" s="38"/>
      <c r="N92" s="38"/>
      <c r="P92" s="36"/>
      <c r="Q92" s="36"/>
      <c r="R92" s="36"/>
    </row>
    <row r="93" spans="2:18" hidden="1" x14ac:dyDescent="0.25">
      <c r="C93" s="38"/>
      <c r="D93" s="38"/>
      <c r="E93" s="38"/>
      <c r="G93" s="38"/>
      <c r="H93" s="38"/>
      <c r="I93" s="38"/>
      <c r="J93" s="175"/>
      <c r="K93" s="175"/>
      <c r="L93" s="38"/>
      <c r="M93" s="38"/>
      <c r="N93" s="38"/>
      <c r="P93" s="36"/>
      <c r="Q93" s="36"/>
      <c r="R93" s="36"/>
    </row>
    <row r="94" spans="2:18" ht="15.75" hidden="1" thickBot="1" x14ac:dyDescent="0.3">
      <c r="B94" s="176" t="s">
        <v>283</v>
      </c>
      <c r="C94" s="176" t="s">
        <v>280</v>
      </c>
      <c r="D94" s="177" t="s">
        <v>285</v>
      </c>
      <c r="E94" t="s">
        <v>89</v>
      </c>
      <c r="G94" s="177"/>
      <c r="H94" s="187"/>
      <c r="I94" s="177"/>
      <c r="J94" s="38"/>
      <c r="K94" s="38"/>
      <c r="L94" s="38"/>
      <c r="M94" s="38"/>
      <c r="N94" s="38"/>
      <c r="P94" s="36"/>
      <c r="Q94" s="36"/>
      <c r="R94" s="36"/>
    </row>
    <row r="95" spans="2:18" ht="20.25" hidden="1" thickBot="1" x14ac:dyDescent="0.35">
      <c r="B95" s="161" t="s">
        <v>282</v>
      </c>
      <c r="C95" s="172"/>
      <c r="D95" s="181"/>
      <c r="E95" s="181"/>
      <c r="G95" s="175"/>
      <c r="H95" s="175"/>
      <c r="I95" s="175"/>
      <c r="J95" s="177"/>
      <c r="K95" s="177"/>
      <c r="L95" s="177"/>
      <c r="M95" s="38"/>
      <c r="N95" s="38"/>
      <c r="P95" s="36"/>
      <c r="Q95" s="36"/>
      <c r="R95" s="36"/>
    </row>
    <row r="96" spans="2:18" hidden="1" x14ac:dyDescent="0.25">
      <c r="B96" s="179" t="s">
        <v>88</v>
      </c>
      <c r="C96" s="180">
        <v>13815000</v>
      </c>
      <c r="D96" s="182"/>
      <c r="E96" s="189"/>
      <c r="G96" s="181"/>
      <c r="H96" s="181"/>
      <c r="I96" s="181"/>
      <c r="J96" s="175"/>
      <c r="K96" s="175"/>
      <c r="L96" s="38"/>
      <c r="M96" s="38"/>
      <c r="N96" s="38"/>
      <c r="P96" s="36"/>
      <c r="Q96" s="36"/>
      <c r="R96" s="36"/>
    </row>
    <row r="97" spans="2:18" hidden="1" x14ac:dyDescent="0.25">
      <c r="B97" s="171" t="s">
        <v>42</v>
      </c>
      <c r="C97" s="38">
        <v>199822</v>
      </c>
      <c r="D97" s="184">
        <v>23400</v>
      </c>
      <c r="E97" s="190">
        <v>139888.80000000002</v>
      </c>
      <c r="G97" s="182"/>
      <c r="H97" s="181"/>
      <c r="I97" s="182"/>
      <c r="J97" s="181"/>
      <c r="K97" s="181"/>
      <c r="L97" s="183"/>
      <c r="M97" s="38"/>
      <c r="N97" s="38"/>
      <c r="P97" s="36"/>
      <c r="Q97" s="36"/>
      <c r="R97" s="36"/>
    </row>
    <row r="98" spans="2:18" hidden="1" x14ac:dyDescent="0.25">
      <c r="B98" s="165" t="s">
        <v>93</v>
      </c>
      <c r="C98" s="38">
        <v>4566266</v>
      </c>
      <c r="D98" s="175"/>
      <c r="E98" s="190"/>
      <c r="G98" s="175"/>
      <c r="H98" s="181"/>
      <c r="I98" s="175"/>
      <c r="J98" s="182"/>
      <c r="K98" s="182"/>
      <c r="L98" s="186"/>
      <c r="M98" s="38"/>
      <c r="N98" s="38"/>
      <c r="P98" s="36"/>
      <c r="Q98" s="36"/>
      <c r="R98" s="36"/>
    </row>
    <row r="99" spans="2:18" hidden="1" x14ac:dyDescent="0.25">
      <c r="C99" s="38"/>
      <c r="D99" s="175"/>
      <c r="E99" s="173"/>
      <c r="G99" s="175"/>
      <c r="H99" s="175"/>
      <c r="I99" s="175"/>
      <c r="J99" s="175"/>
      <c r="K99" s="175"/>
      <c r="L99" s="38"/>
      <c r="M99" s="38"/>
      <c r="N99" s="38"/>
      <c r="P99" s="36"/>
      <c r="Q99" s="36"/>
      <c r="R99" s="36"/>
    </row>
    <row r="100" spans="2:18" ht="20.25" hidden="1" thickBot="1" x14ac:dyDescent="0.35">
      <c r="B100" s="161" t="s">
        <v>284</v>
      </c>
      <c r="C100" s="38"/>
      <c r="D100" s="175"/>
      <c r="E100" s="173"/>
      <c r="G100" s="175"/>
      <c r="H100" s="175"/>
      <c r="I100" s="175"/>
      <c r="J100" s="175"/>
      <c r="K100" s="175"/>
      <c r="L100" s="38"/>
      <c r="M100" s="38"/>
      <c r="N100" s="38"/>
      <c r="P100" s="36"/>
      <c r="Q100" s="36"/>
      <c r="R100" s="36"/>
    </row>
    <row r="101" spans="2:18" hidden="1" x14ac:dyDescent="0.25">
      <c r="B101" s="165" t="s">
        <v>87</v>
      </c>
      <c r="C101" s="38">
        <v>6527229</v>
      </c>
      <c r="D101" s="175"/>
      <c r="E101" s="173"/>
      <c r="G101" s="175"/>
      <c r="H101" s="181"/>
      <c r="I101" s="175"/>
      <c r="J101" s="175"/>
      <c r="K101" s="175"/>
      <c r="L101" s="38"/>
      <c r="M101" s="38"/>
      <c r="N101" s="38"/>
      <c r="P101" s="36"/>
      <c r="Q101" s="36"/>
      <c r="R101" s="36"/>
    </row>
    <row r="102" spans="2:18" hidden="1" x14ac:dyDescent="0.25">
      <c r="B102" s="164" t="s">
        <v>42</v>
      </c>
      <c r="C102" s="38">
        <v>695734</v>
      </c>
      <c r="D102" s="184">
        <v>93600</v>
      </c>
      <c r="E102" s="173">
        <v>559555.20000000007</v>
      </c>
      <c r="G102" s="175"/>
      <c r="H102" s="181"/>
      <c r="I102" s="175"/>
      <c r="J102" s="175"/>
      <c r="K102" s="175"/>
      <c r="L102" s="38"/>
      <c r="M102" s="38"/>
      <c r="N102" s="38"/>
      <c r="P102" s="36"/>
      <c r="Q102" s="36"/>
      <c r="R102" s="36"/>
    </row>
    <row r="103" spans="2:18" hidden="1" x14ac:dyDescent="0.25">
      <c r="B103" s="164" t="s">
        <v>94</v>
      </c>
      <c r="C103" s="38">
        <v>158000</v>
      </c>
      <c r="D103" s="175"/>
      <c r="E103" s="190"/>
      <c r="G103" s="175"/>
      <c r="H103" s="181"/>
      <c r="I103" s="175"/>
      <c r="J103" s="175"/>
      <c r="K103" s="175"/>
      <c r="L103" s="38"/>
      <c r="M103" s="38"/>
      <c r="N103" s="38"/>
      <c r="P103" s="36"/>
      <c r="Q103" s="36"/>
      <c r="R103" s="36"/>
    </row>
    <row r="104" spans="2:18" hidden="1" x14ac:dyDescent="0.25">
      <c r="C104" s="38"/>
      <c r="D104" s="175"/>
      <c r="E104" s="173"/>
      <c r="G104" s="175"/>
      <c r="H104" s="175"/>
      <c r="I104" s="175"/>
      <c r="J104" s="175"/>
      <c r="K104" s="175"/>
      <c r="L104" s="38"/>
      <c r="M104" s="38"/>
      <c r="N104" s="38"/>
      <c r="P104" s="36"/>
      <c r="Q104" s="36"/>
      <c r="R104" s="36"/>
    </row>
    <row r="105" spans="2:18" ht="20.25" hidden="1" thickBot="1" x14ac:dyDescent="0.35">
      <c r="B105" s="161" t="s">
        <v>90</v>
      </c>
      <c r="C105" s="38"/>
      <c r="D105" s="175"/>
      <c r="E105" s="190"/>
      <c r="G105" s="175"/>
      <c r="H105" s="175"/>
      <c r="I105" s="175"/>
      <c r="J105" s="175"/>
      <c r="K105" s="175"/>
      <c r="L105" s="38"/>
      <c r="M105" s="38"/>
      <c r="N105" s="38"/>
      <c r="P105" s="36"/>
      <c r="Q105" s="36"/>
      <c r="R105" s="36"/>
    </row>
    <row r="106" spans="2:18" hidden="1" x14ac:dyDescent="0.25">
      <c r="C106" s="38">
        <v>568680</v>
      </c>
      <c r="D106" s="175">
        <v>145320</v>
      </c>
      <c r="E106" s="173"/>
      <c r="G106" s="175"/>
      <c r="H106" s="181"/>
      <c r="I106" s="175"/>
      <c r="J106" s="175"/>
      <c r="K106" s="175"/>
      <c r="L106" s="38"/>
      <c r="M106" s="38"/>
      <c r="N106" s="38"/>
      <c r="P106" s="36"/>
      <c r="Q106" s="36"/>
      <c r="R106" s="36"/>
    </row>
    <row r="107" spans="2:18" hidden="1" x14ac:dyDescent="0.25">
      <c r="C107" s="38"/>
      <c r="D107" s="175"/>
      <c r="E107" s="173"/>
      <c r="G107" s="175"/>
      <c r="H107" s="175"/>
      <c r="I107" s="175"/>
      <c r="J107" s="175"/>
      <c r="K107" s="175"/>
      <c r="L107" s="38"/>
      <c r="M107" s="38"/>
      <c r="N107" s="38"/>
      <c r="P107" s="36"/>
      <c r="Q107" s="36"/>
      <c r="R107" s="36"/>
    </row>
    <row r="108" spans="2:18" ht="20.25" hidden="1" thickBot="1" x14ac:dyDescent="0.35">
      <c r="B108" s="161" t="s">
        <v>91</v>
      </c>
      <c r="C108" s="38"/>
      <c r="D108" s="175"/>
      <c r="E108" s="190"/>
      <c r="G108" s="175"/>
      <c r="H108" s="181"/>
      <c r="I108" s="175"/>
      <c r="J108" s="175"/>
      <c r="K108" s="175"/>
      <c r="L108" s="38"/>
      <c r="M108" s="38"/>
      <c r="N108" s="38"/>
      <c r="P108" s="36"/>
      <c r="Q108" s="36"/>
      <c r="R108" s="36"/>
    </row>
    <row r="109" spans="2:18" hidden="1" x14ac:dyDescent="0.25">
      <c r="C109" s="38">
        <v>204525</v>
      </c>
      <c r="D109" s="175">
        <v>145475</v>
      </c>
      <c r="E109" s="173"/>
      <c r="G109" s="175"/>
      <c r="H109" s="181"/>
      <c r="I109" s="175"/>
      <c r="J109" s="175"/>
      <c r="K109" s="175"/>
      <c r="L109" s="38"/>
      <c r="M109" s="38"/>
      <c r="N109" s="38"/>
      <c r="P109" s="36"/>
      <c r="Q109" s="36"/>
      <c r="R109" s="36"/>
    </row>
    <row r="110" spans="2:18" ht="20.25" hidden="1" thickBot="1" x14ac:dyDescent="0.35">
      <c r="B110" s="161" t="s">
        <v>287</v>
      </c>
      <c r="C110" s="38"/>
      <c r="D110" s="175"/>
      <c r="E110" s="173"/>
      <c r="G110" s="175"/>
      <c r="H110" s="181"/>
      <c r="I110" s="175"/>
      <c r="J110" s="175"/>
      <c r="K110" s="175"/>
      <c r="L110" s="38"/>
      <c r="P110" s="36"/>
      <c r="Q110" s="36"/>
      <c r="R110" s="36"/>
    </row>
    <row r="111" spans="2:18" hidden="1" x14ac:dyDescent="0.25">
      <c r="C111" s="38"/>
      <c r="D111" s="175"/>
      <c r="E111" s="175"/>
      <c r="G111" s="175"/>
      <c r="H111" s="175"/>
      <c r="I111" s="175"/>
      <c r="J111" s="175"/>
      <c r="K111" s="175"/>
      <c r="L111" s="38"/>
      <c r="P111" s="36"/>
      <c r="Q111" s="36"/>
      <c r="R111" s="36"/>
    </row>
    <row r="112" spans="2:18" hidden="1" x14ac:dyDescent="0.25">
      <c r="B112" s="188" t="s">
        <v>13</v>
      </c>
      <c r="C112" s="38">
        <f>SUM(C96:C110)</f>
        <v>26735256</v>
      </c>
      <c r="D112" s="38">
        <f>SUM(D96:D110)</f>
        <v>407795</v>
      </c>
      <c r="E112" s="40">
        <f>SUM(E96:E110)</f>
        <v>699444.00000000012</v>
      </c>
      <c r="G112" s="175"/>
      <c r="H112" s="38"/>
      <c r="I112" s="175"/>
      <c r="J112" s="175"/>
      <c r="K112" s="175"/>
      <c r="L112" s="38"/>
      <c r="P112" s="36"/>
      <c r="Q112" s="36"/>
      <c r="R112" s="36"/>
    </row>
    <row r="113" spans="2:30" hidden="1" x14ac:dyDescent="0.25">
      <c r="C113" s="38"/>
      <c r="D113" s="185"/>
      <c r="E113" s="175"/>
      <c r="G113" s="175"/>
      <c r="H113" s="175"/>
      <c r="I113" s="175"/>
      <c r="J113" s="175"/>
      <c r="K113" s="175"/>
      <c r="L113" s="38"/>
      <c r="P113" s="36"/>
      <c r="Q113" s="36"/>
      <c r="R113" s="36"/>
      <c r="T113" s="57"/>
    </row>
    <row r="114" spans="2:30" hidden="1" x14ac:dyDescent="0.25">
      <c r="B114" s="188" t="s">
        <v>92</v>
      </c>
      <c r="C114" s="38">
        <v>3695000</v>
      </c>
      <c r="D114" s="175"/>
      <c r="E114" s="175"/>
      <c r="G114" s="175"/>
      <c r="H114" s="181"/>
      <c r="I114" s="175"/>
      <c r="J114" s="175"/>
      <c r="K114" s="175"/>
      <c r="L114" s="38"/>
      <c r="P114" s="36"/>
      <c r="Q114" s="36"/>
      <c r="R114" s="36"/>
      <c r="Y114" t="s">
        <v>423</v>
      </c>
      <c r="Z114" s="426">
        <v>408484</v>
      </c>
      <c r="AA114" s="426"/>
      <c r="AC114" s="426">
        <v>332378</v>
      </c>
      <c r="AD114" t="s">
        <v>425</v>
      </c>
    </row>
    <row r="115" spans="2:30" hidden="1" x14ac:dyDescent="0.25">
      <c r="C115" s="38"/>
      <c r="D115" s="175"/>
      <c r="E115" s="175"/>
      <c r="G115" s="175"/>
      <c r="H115" s="175"/>
      <c r="I115" s="175"/>
      <c r="J115" s="175"/>
      <c r="K115" s="175"/>
      <c r="L115" s="38"/>
      <c r="Y115" t="s">
        <v>423</v>
      </c>
      <c r="Z115" s="427">
        <v>109108</v>
      </c>
      <c r="AA115" s="427"/>
      <c r="AC115" s="426">
        <v>343167</v>
      </c>
    </row>
    <row r="116" spans="2:30" hidden="1" x14ac:dyDescent="0.25">
      <c r="C116" s="38"/>
      <c r="D116" s="185"/>
      <c r="E116" s="175"/>
      <c r="G116" s="175"/>
      <c r="H116" s="175"/>
      <c r="I116" s="175"/>
      <c r="J116" s="175"/>
      <c r="K116" s="175"/>
      <c r="L116" s="38"/>
      <c r="Y116" t="s">
        <v>424</v>
      </c>
      <c r="Z116" s="427">
        <v>230400</v>
      </c>
      <c r="AA116" s="427"/>
      <c r="AC116" s="426">
        <v>109108</v>
      </c>
    </row>
    <row r="117" spans="2:30" hidden="1" x14ac:dyDescent="0.25">
      <c r="B117" s="188" t="s">
        <v>288</v>
      </c>
      <c r="C117" s="38">
        <f>+C114+C112</f>
        <v>30430256</v>
      </c>
      <c r="D117" s="38">
        <f>+D114+D112</f>
        <v>407795</v>
      </c>
      <c r="E117" s="38">
        <f>+E114+E112</f>
        <v>699444.00000000012</v>
      </c>
      <c r="G117" s="175"/>
      <c r="H117" s="38"/>
      <c r="I117" s="175"/>
      <c r="J117" s="175"/>
      <c r="K117" s="175"/>
      <c r="L117" s="38"/>
      <c r="Z117" s="427">
        <f>SUM(Z114:Z116)</f>
        <v>747992</v>
      </c>
      <c r="AA117" s="427"/>
      <c r="AC117" s="427">
        <f>SUM(AC114:AC116)</f>
        <v>784653</v>
      </c>
    </row>
    <row r="118" spans="2:30" hidden="1" x14ac:dyDescent="0.25">
      <c r="H118" s="39"/>
      <c r="J118" s="175"/>
      <c r="K118" s="175"/>
      <c r="L118" s="38"/>
    </row>
    <row r="119" spans="2:30" hidden="1" x14ac:dyDescent="0.25">
      <c r="H119" s="39"/>
    </row>
    <row r="120" spans="2:30" hidden="1" x14ac:dyDescent="0.25">
      <c r="C120">
        <f>3.2*5</f>
        <v>16</v>
      </c>
      <c r="H120" s="39"/>
    </row>
    <row r="121" spans="2:30" x14ac:dyDescent="0.25">
      <c r="P121" s="446"/>
    </row>
    <row r="123" spans="2:30" x14ac:dyDescent="0.25">
      <c r="H123" s="38"/>
    </row>
    <row r="124" spans="2:30" x14ac:dyDescent="0.25">
      <c r="H124" s="39"/>
    </row>
    <row r="125" spans="2:30" x14ac:dyDescent="0.25">
      <c r="H125" s="39"/>
    </row>
  </sheetData>
  <mergeCells count="11">
    <mergeCell ref="M6:N6"/>
    <mergeCell ref="O6:P6"/>
    <mergeCell ref="Q6:R6"/>
    <mergeCell ref="U3:U4"/>
    <mergeCell ref="B4:B5"/>
    <mergeCell ref="C4:C5"/>
    <mergeCell ref="D4:D5"/>
    <mergeCell ref="E4:E5"/>
    <mergeCell ref="F4:G5"/>
    <mergeCell ref="H4:I5"/>
    <mergeCell ref="J4:K5"/>
  </mergeCells>
  <pageMargins left="0.70866141732283472" right="0.70866141732283472" top="0.74803149606299213" bottom="0.74803149606299213" header="0.31496062992125984" footer="0.31496062992125984"/>
  <pageSetup scale="2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B8:I29"/>
  <sheetViews>
    <sheetView zoomScaleNormal="100" workbookViewId="0">
      <selection activeCell="J15" sqref="J15"/>
    </sheetView>
  </sheetViews>
  <sheetFormatPr baseColWidth="10" defaultRowHeight="15" x14ac:dyDescent="0.25"/>
  <cols>
    <col min="2" max="2" width="48.28515625" customWidth="1"/>
    <col min="3" max="3" width="15.140625" bestFit="1" customWidth="1"/>
    <col min="6" max="6" width="12" bestFit="1" customWidth="1"/>
  </cols>
  <sheetData>
    <row r="8" spans="2:9" ht="26.25" x14ac:dyDescent="0.35">
      <c r="B8" s="406" t="s">
        <v>411</v>
      </c>
      <c r="C8" s="407">
        <v>2018</v>
      </c>
      <c r="D8" s="408">
        <v>2019</v>
      </c>
      <c r="E8" s="408">
        <v>2020</v>
      </c>
      <c r="F8" s="408">
        <v>2021</v>
      </c>
    </row>
    <row r="9" spans="2:9" ht="18.75" x14ac:dyDescent="0.25">
      <c r="B9" s="409" t="s">
        <v>334</v>
      </c>
      <c r="C9" s="410">
        <v>36.200000000000003</v>
      </c>
      <c r="D9" s="410">
        <v>39.5</v>
      </c>
      <c r="E9" s="410">
        <v>40.5</v>
      </c>
      <c r="F9" s="410"/>
      <c r="H9" s="36"/>
      <c r="I9" s="36"/>
    </row>
    <row r="10" spans="2:9" ht="18.75" x14ac:dyDescent="0.25">
      <c r="B10" s="409" t="s">
        <v>372</v>
      </c>
      <c r="C10" s="410">
        <v>3.2</v>
      </c>
      <c r="D10" s="410">
        <v>2.5</v>
      </c>
      <c r="E10" s="410">
        <v>2.2999999999999998</v>
      </c>
      <c r="F10" s="410"/>
    </row>
    <row r="11" spans="2:9" ht="18.75" x14ac:dyDescent="0.25">
      <c r="B11" s="409" t="s">
        <v>19</v>
      </c>
      <c r="C11" s="410">
        <v>6.9</v>
      </c>
      <c r="D11" s="410">
        <v>7.2</v>
      </c>
      <c r="E11" s="410">
        <v>7.2</v>
      </c>
      <c r="F11" s="410"/>
    </row>
    <row r="12" spans="2:9" ht="18.75" x14ac:dyDescent="0.25">
      <c r="B12" s="409" t="s">
        <v>429</v>
      </c>
      <c r="C12" s="410">
        <v>3.4</v>
      </c>
      <c r="D12" s="410">
        <v>2.5</v>
      </c>
      <c r="E12" s="410">
        <v>2.5</v>
      </c>
      <c r="F12" s="410"/>
    </row>
    <row r="13" spans="2:9" ht="18.75" x14ac:dyDescent="0.25">
      <c r="B13" s="409" t="s">
        <v>412</v>
      </c>
      <c r="C13" s="411">
        <f>SUM(C9:C12)</f>
        <v>49.7</v>
      </c>
      <c r="D13" s="411">
        <f t="shared" ref="D13:F13" si="0">SUM(D9:D12)</f>
        <v>51.7</v>
      </c>
      <c r="E13" s="411">
        <f t="shared" si="0"/>
        <v>52.5</v>
      </c>
      <c r="F13" s="411">
        <f t="shared" si="0"/>
        <v>0</v>
      </c>
    </row>
    <row r="14" spans="2:9" ht="18.75" x14ac:dyDescent="0.25">
      <c r="B14" s="409" t="s">
        <v>342</v>
      </c>
      <c r="C14" s="411">
        <f>+C13-C15</f>
        <v>12.400000000000006</v>
      </c>
      <c r="D14" s="411">
        <f>+D13-D15</f>
        <v>13.300000000000004</v>
      </c>
      <c r="E14" s="411">
        <f>+E13-E15</f>
        <v>12.799999999999997</v>
      </c>
      <c r="F14" s="411"/>
    </row>
    <row r="15" spans="2:9" ht="18.75" x14ac:dyDescent="0.25">
      <c r="B15" s="409" t="s">
        <v>413</v>
      </c>
      <c r="C15" s="412">
        <v>37.299999999999997</v>
      </c>
      <c r="D15" s="412">
        <v>38.4</v>
      </c>
      <c r="E15" s="412">
        <v>39.700000000000003</v>
      </c>
      <c r="F15" s="412"/>
    </row>
    <row r="16" spans="2:9" ht="18.75" x14ac:dyDescent="0.25">
      <c r="B16" s="441" t="s">
        <v>437</v>
      </c>
      <c r="C16" s="442">
        <v>337.9</v>
      </c>
      <c r="D16" s="442">
        <v>348.7</v>
      </c>
      <c r="E16" s="442">
        <v>349</v>
      </c>
    </row>
    <row r="18" spans="2:6" ht="26.25" x14ac:dyDescent="0.25">
      <c r="B18" s="406" t="s">
        <v>283</v>
      </c>
      <c r="C18" s="406">
        <v>2018</v>
      </c>
      <c r="D18" s="406">
        <v>2019</v>
      </c>
      <c r="E18" s="406">
        <v>2020</v>
      </c>
      <c r="F18" s="406">
        <v>2021</v>
      </c>
    </row>
    <row r="19" spans="2:6" ht="18.75" x14ac:dyDescent="0.25">
      <c r="B19" s="443" t="s">
        <v>334</v>
      </c>
      <c r="C19" s="411">
        <f>+C16/10</f>
        <v>33.79</v>
      </c>
      <c r="D19" s="411">
        <f t="shared" ref="D19:E19" si="1">+D16/10</f>
        <v>34.869999999999997</v>
      </c>
      <c r="E19" s="411">
        <f t="shared" si="1"/>
        <v>34.9</v>
      </c>
      <c r="F19" s="411">
        <v>30.9</v>
      </c>
    </row>
    <row r="20" spans="2:6" ht="18.75" x14ac:dyDescent="0.25">
      <c r="B20" s="443" t="s">
        <v>438</v>
      </c>
      <c r="C20" s="442">
        <f>+C9</f>
        <v>36.200000000000003</v>
      </c>
      <c r="D20" s="442">
        <f t="shared" ref="D20:E20" si="2">+D9</f>
        <v>39.5</v>
      </c>
      <c r="E20" s="442">
        <f t="shared" si="2"/>
        <v>40.5</v>
      </c>
    </row>
    <row r="25" spans="2:6" ht="21" x14ac:dyDescent="0.35">
      <c r="B25" s="415" t="s">
        <v>415</v>
      </c>
      <c r="C25" s="416">
        <f>+C11/C15</f>
        <v>0.18498659517426275</v>
      </c>
      <c r="D25" s="416">
        <f>+D11/D15</f>
        <v>0.1875</v>
      </c>
      <c r="E25" s="416">
        <f>+E11/E15</f>
        <v>0.181360201511335</v>
      </c>
      <c r="F25" s="416" t="e">
        <f>+F11/F15</f>
        <v>#DIV/0!</v>
      </c>
    </row>
    <row r="26" spans="2:6" ht="21" x14ac:dyDescent="0.35">
      <c r="B26" s="417" t="s">
        <v>416</v>
      </c>
      <c r="C26" s="418">
        <f>+C11/C13</f>
        <v>0.13883299798792756</v>
      </c>
      <c r="D26" s="418">
        <f>+D11/D13</f>
        <v>0.13926499032882012</v>
      </c>
      <c r="E26" s="418">
        <f>+E11/E13</f>
        <v>0.13714285714285715</v>
      </c>
      <c r="F26" s="418" t="e">
        <f>+F11/F13</f>
        <v>#DIV/0!</v>
      </c>
    </row>
    <row r="28" spans="2:6" x14ac:dyDescent="0.25">
      <c r="C28">
        <v>49.7</v>
      </c>
      <c r="D28">
        <v>51.7</v>
      </c>
      <c r="E28">
        <v>52.5</v>
      </c>
    </row>
    <row r="29" spans="2:6" x14ac:dyDescent="0.25">
      <c r="C29" s="427">
        <f>+C9+C10+C12-C28</f>
        <v>-6.8999999999999986</v>
      </c>
      <c r="D29" s="427">
        <f>+D9+D10+D12-D28</f>
        <v>-7.2000000000000028</v>
      </c>
      <c r="E29" s="427">
        <f>+E9+E10+E12-E28</f>
        <v>-7.2000000000000028</v>
      </c>
    </row>
  </sheetData>
  <pageMargins left="0.7" right="0.7" top="0.75" bottom="0.75" header="0.3" footer="0.3"/>
  <pageSetup orientation="portrait" r:id="rId1"/>
  <ignoredErrors>
    <ignoredError sqref="D13:F13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A2:AJ125"/>
  <sheetViews>
    <sheetView showGridLines="0" zoomScale="110" zoomScaleNormal="110" workbookViewId="0">
      <selection activeCell="C32" sqref="C32"/>
    </sheetView>
  </sheetViews>
  <sheetFormatPr baseColWidth="10" defaultRowHeight="15" x14ac:dyDescent="0.25"/>
  <cols>
    <col min="1" max="1" width="3.140625" customWidth="1"/>
    <col min="2" max="2" width="47.28515625" customWidth="1"/>
    <col min="3" max="3" width="18.140625" customWidth="1"/>
    <col min="4" max="4" width="14.42578125" customWidth="1"/>
    <col min="5" max="5" width="12.5703125" customWidth="1"/>
    <col min="6" max="6" width="14.140625" bestFit="1" customWidth="1"/>
    <col min="7" max="7" width="12.7109375" customWidth="1"/>
    <col min="8" max="8" width="15.7109375" customWidth="1"/>
    <col min="9" max="9" width="11" bestFit="1" customWidth="1"/>
    <col min="10" max="10" width="5.85546875" style="40" customWidth="1"/>
    <col min="11" max="11" width="12.7109375" style="36" customWidth="1"/>
    <col min="12" max="12" width="16.42578125" style="20" customWidth="1"/>
    <col min="13" max="13" width="16.28515625" style="36" customWidth="1"/>
    <col min="14" max="14" width="16.7109375" bestFit="1" customWidth="1"/>
    <col min="15" max="15" width="15.28515625" customWidth="1"/>
    <col min="16" max="16" width="17.28515625" customWidth="1"/>
    <col min="17" max="17" width="14.85546875" customWidth="1"/>
    <col min="18" max="18" width="14.140625" customWidth="1"/>
    <col min="19" max="19" width="17" customWidth="1"/>
    <col min="20" max="21" width="20.7109375" customWidth="1"/>
    <col min="22" max="22" width="18.5703125" customWidth="1"/>
    <col min="23" max="23" width="22.85546875" customWidth="1"/>
    <col min="24" max="26" width="18.5703125" customWidth="1"/>
    <col min="27" max="28" width="16.85546875" customWidth="1"/>
    <col min="29" max="29" width="11.42578125" customWidth="1"/>
    <col min="30" max="30" width="14.5703125" customWidth="1"/>
    <col min="31" max="31" width="12.7109375" customWidth="1"/>
    <col min="33" max="33" width="12.140625" bestFit="1" customWidth="1"/>
    <col min="35" max="35" width="12.5703125" bestFit="1" customWidth="1"/>
    <col min="36" max="36" width="14.140625" bestFit="1" customWidth="1"/>
    <col min="237" max="237" width="37.42578125" bestFit="1" customWidth="1"/>
    <col min="238" max="238" width="13.85546875" bestFit="1" customWidth="1"/>
    <col min="239" max="239" width="13.42578125" customWidth="1"/>
    <col min="240" max="240" width="7.85546875" bestFit="1" customWidth="1"/>
    <col min="241" max="241" width="13.28515625" customWidth="1"/>
    <col min="242" max="242" width="7.7109375" bestFit="1" customWidth="1"/>
    <col min="243" max="243" width="14.7109375" customWidth="1"/>
    <col min="244" max="244" width="7.85546875" bestFit="1" customWidth="1"/>
    <col min="493" max="493" width="37.42578125" bestFit="1" customWidth="1"/>
    <col min="494" max="494" width="13.85546875" bestFit="1" customWidth="1"/>
    <col min="495" max="495" width="13.42578125" customWidth="1"/>
    <col min="496" max="496" width="7.85546875" bestFit="1" customWidth="1"/>
    <col min="497" max="497" width="13.28515625" customWidth="1"/>
    <col min="498" max="498" width="7.7109375" bestFit="1" customWidth="1"/>
    <col min="499" max="499" width="14.7109375" customWidth="1"/>
    <col min="500" max="500" width="7.85546875" bestFit="1" customWidth="1"/>
    <col min="749" max="749" width="37.42578125" bestFit="1" customWidth="1"/>
    <col min="750" max="750" width="13.85546875" bestFit="1" customWidth="1"/>
    <col min="751" max="751" width="13.42578125" customWidth="1"/>
    <col min="752" max="752" width="7.85546875" bestFit="1" customWidth="1"/>
    <col min="753" max="753" width="13.28515625" customWidth="1"/>
    <col min="754" max="754" width="7.7109375" bestFit="1" customWidth="1"/>
    <col min="755" max="755" width="14.7109375" customWidth="1"/>
    <col min="756" max="756" width="7.85546875" bestFit="1" customWidth="1"/>
    <col min="1005" max="1005" width="37.42578125" bestFit="1" customWidth="1"/>
    <col min="1006" max="1006" width="13.85546875" bestFit="1" customWidth="1"/>
    <col min="1007" max="1007" width="13.42578125" customWidth="1"/>
    <col min="1008" max="1008" width="7.85546875" bestFit="1" customWidth="1"/>
    <col min="1009" max="1009" width="13.28515625" customWidth="1"/>
    <col min="1010" max="1010" width="7.7109375" bestFit="1" customWidth="1"/>
    <col min="1011" max="1011" width="14.7109375" customWidth="1"/>
    <col min="1012" max="1012" width="7.85546875" bestFit="1" customWidth="1"/>
    <col min="1261" max="1261" width="37.42578125" bestFit="1" customWidth="1"/>
    <col min="1262" max="1262" width="13.85546875" bestFit="1" customWidth="1"/>
    <col min="1263" max="1263" width="13.42578125" customWidth="1"/>
    <col min="1264" max="1264" width="7.85546875" bestFit="1" customWidth="1"/>
    <col min="1265" max="1265" width="13.28515625" customWidth="1"/>
    <col min="1266" max="1266" width="7.7109375" bestFit="1" customWidth="1"/>
    <col min="1267" max="1267" width="14.7109375" customWidth="1"/>
    <col min="1268" max="1268" width="7.85546875" bestFit="1" customWidth="1"/>
    <col min="1517" max="1517" width="37.42578125" bestFit="1" customWidth="1"/>
    <col min="1518" max="1518" width="13.85546875" bestFit="1" customWidth="1"/>
    <col min="1519" max="1519" width="13.42578125" customWidth="1"/>
    <col min="1520" max="1520" width="7.85546875" bestFit="1" customWidth="1"/>
    <col min="1521" max="1521" width="13.28515625" customWidth="1"/>
    <col min="1522" max="1522" width="7.7109375" bestFit="1" customWidth="1"/>
    <col min="1523" max="1523" width="14.7109375" customWidth="1"/>
    <col min="1524" max="1524" width="7.85546875" bestFit="1" customWidth="1"/>
    <col min="1773" max="1773" width="37.42578125" bestFit="1" customWidth="1"/>
    <col min="1774" max="1774" width="13.85546875" bestFit="1" customWidth="1"/>
    <col min="1775" max="1775" width="13.42578125" customWidth="1"/>
    <col min="1776" max="1776" width="7.85546875" bestFit="1" customWidth="1"/>
    <col min="1777" max="1777" width="13.28515625" customWidth="1"/>
    <col min="1778" max="1778" width="7.7109375" bestFit="1" customWidth="1"/>
    <col min="1779" max="1779" width="14.7109375" customWidth="1"/>
    <col min="1780" max="1780" width="7.85546875" bestFit="1" customWidth="1"/>
    <col min="2029" max="2029" width="37.42578125" bestFit="1" customWidth="1"/>
    <col min="2030" max="2030" width="13.85546875" bestFit="1" customWidth="1"/>
    <col min="2031" max="2031" width="13.42578125" customWidth="1"/>
    <col min="2032" max="2032" width="7.85546875" bestFit="1" customWidth="1"/>
    <col min="2033" max="2033" width="13.28515625" customWidth="1"/>
    <col min="2034" max="2034" width="7.7109375" bestFit="1" customWidth="1"/>
    <col min="2035" max="2035" width="14.7109375" customWidth="1"/>
    <col min="2036" max="2036" width="7.85546875" bestFit="1" customWidth="1"/>
    <col min="2285" max="2285" width="37.42578125" bestFit="1" customWidth="1"/>
    <col min="2286" max="2286" width="13.85546875" bestFit="1" customWidth="1"/>
    <col min="2287" max="2287" width="13.42578125" customWidth="1"/>
    <col min="2288" max="2288" width="7.85546875" bestFit="1" customWidth="1"/>
    <col min="2289" max="2289" width="13.28515625" customWidth="1"/>
    <col min="2290" max="2290" width="7.7109375" bestFit="1" customWidth="1"/>
    <col min="2291" max="2291" width="14.7109375" customWidth="1"/>
    <col min="2292" max="2292" width="7.85546875" bestFit="1" customWidth="1"/>
    <col min="2541" max="2541" width="37.42578125" bestFit="1" customWidth="1"/>
    <col min="2542" max="2542" width="13.85546875" bestFit="1" customWidth="1"/>
    <col min="2543" max="2543" width="13.42578125" customWidth="1"/>
    <col min="2544" max="2544" width="7.85546875" bestFit="1" customWidth="1"/>
    <col min="2545" max="2545" width="13.28515625" customWidth="1"/>
    <col min="2546" max="2546" width="7.7109375" bestFit="1" customWidth="1"/>
    <col min="2547" max="2547" width="14.7109375" customWidth="1"/>
    <col min="2548" max="2548" width="7.85546875" bestFit="1" customWidth="1"/>
    <col min="2797" max="2797" width="37.42578125" bestFit="1" customWidth="1"/>
    <col min="2798" max="2798" width="13.85546875" bestFit="1" customWidth="1"/>
    <col min="2799" max="2799" width="13.42578125" customWidth="1"/>
    <col min="2800" max="2800" width="7.85546875" bestFit="1" customWidth="1"/>
    <col min="2801" max="2801" width="13.28515625" customWidth="1"/>
    <col min="2802" max="2802" width="7.7109375" bestFit="1" customWidth="1"/>
    <col min="2803" max="2803" width="14.7109375" customWidth="1"/>
    <col min="2804" max="2804" width="7.85546875" bestFit="1" customWidth="1"/>
    <col min="3053" max="3053" width="37.42578125" bestFit="1" customWidth="1"/>
    <col min="3054" max="3054" width="13.85546875" bestFit="1" customWidth="1"/>
    <col min="3055" max="3055" width="13.42578125" customWidth="1"/>
    <col min="3056" max="3056" width="7.85546875" bestFit="1" customWidth="1"/>
    <col min="3057" max="3057" width="13.28515625" customWidth="1"/>
    <col min="3058" max="3058" width="7.7109375" bestFit="1" customWidth="1"/>
    <col min="3059" max="3059" width="14.7109375" customWidth="1"/>
    <col min="3060" max="3060" width="7.85546875" bestFit="1" customWidth="1"/>
    <col min="3309" max="3309" width="37.42578125" bestFit="1" customWidth="1"/>
    <col min="3310" max="3310" width="13.85546875" bestFit="1" customWidth="1"/>
    <col min="3311" max="3311" width="13.42578125" customWidth="1"/>
    <col min="3312" max="3312" width="7.85546875" bestFit="1" customWidth="1"/>
    <col min="3313" max="3313" width="13.28515625" customWidth="1"/>
    <col min="3314" max="3314" width="7.7109375" bestFit="1" customWidth="1"/>
    <col min="3315" max="3315" width="14.7109375" customWidth="1"/>
    <col min="3316" max="3316" width="7.85546875" bestFit="1" customWidth="1"/>
    <col min="3565" max="3565" width="37.42578125" bestFit="1" customWidth="1"/>
    <col min="3566" max="3566" width="13.85546875" bestFit="1" customWidth="1"/>
    <col min="3567" max="3567" width="13.42578125" customWidth="1"/>
    <col min="3568" max="3568" width="7.85546875" bestFit="1" customWidth="1"/>
    <col min="3569" max="3569" width="13.28515625" customWidth="1"/>
    <col min="3570" max="3570" width="7.7109375" bestFit="1" customWidth="1"/>
    <col min="3571" max="3571" width="14.7109375" customWidth="1"/>
    <col min="3572" max="3572" width="7.85546875" bestFit="1" customWidth="1"/>
    <col min="3821" max="3821" width="37.42578125" bestFit="1" customWidth="1"/>
    <col min="3822" max="3822" width="13.85546875" bestFit="1" customWidth="1"/>
    <col min="3823" max="3823" width="13.42578125" customWidth="1"/>
    <col min="3824" max="3824" width="7.85546875" bestFit="1" customWidth="1"/>
    <col min="3825" max="3825" width="13.28515625" customWidth="1"/>
    <col min="3826" max="3826" width="7.7109375" bestFit="1" customWidth="1"/>
    <col min="3827" max="3827" width="14.7109375" customWidth="1"/>
    <col min="3828" max="3828" width="7.85546875" bestFit="1" customWidth="1"/>
    <col min="4077" max="4077" width="37.42578125" bestFit="1" customWidth="1"/>
    <col min="4078" max="4078" width="13.85546875" bestFit="1" customWidth="1"/>
    <col min="4079" max="4079" width="13.42578125" customWidth="1"/>
    <col min="4080" max="4080" width="7.85546875" bestFit="1" customWidth="1"/>
    <col min="4081" max="4081" width="13.28515625" customWidth="1"/>
    <col min="4082" max="4082" width="7.7109375" bestFit="1" customWidth="1"/>
    <col min="4083" max="4083" width="14.7109375" customWidth="1"/>
    <col min="4084" max="4084" width="7.85546875" bestFit="1" customWidth="1"/>
    <col min="4333" max="4333" width="37.42578125" bestFit="1" customWidth="1"/>
    <col min="4334" max="4334" width="13.85546875" bestFit="1" customWidth="1"/>
    <col min="4335" max="4335" width="13.42578125" customWidth="1"/>
    <col min="4336" max="4336" width="7.85546875" bestFit="1" customWidth="1"/>
    <col min="4337" max="4337" width="13.28515625" customWidth="1"/>
    <col min="4338" max="4338" width="7.7109375" bestFit="1" customWidth="1"/>
    <col min="4339" max="4339" width="14.7109375" customWidth="1"/>
    <col min="4340" max="4340" width="7.85546875" bestFit="1" customWidth="1"/>
    <col min="4589" max="4589" width="37.42578125" bestFit="1" customWidth="1"/>
    <col min="4590" max="4590" width="13.85546875" bestFit="1" customWidth="1"/>
    <col min="4591" max="4591" width="13.42578125" customWidth="1"/>
    <col min="4592" max="4592" width="7.85546875" bestFit="1" customWidth="1"/>
    <col min="4593" max="4593" width="13.28515625" customWidth="1"/>
    <col min="4594" max="4594" width="7.7109375" bestFit="1" customWidth="1"/>
    <col min="4595" max="4595" width="14.7109375" customWidth="1"/>
    <col min="4596" max="4596" width="7.85546875" bestFit="1" customWidth="1"/>
    <col min="4845" max="4845" width="37.42578125" bestFit="1" customWidth="1"/>
    <col min="4846" max="4846" width="13.85546875" bestFit="1" customWidth="1"/>
    <col min="4847" max="4847" width="13.42578125" customWidth="1"/>
    <col min="4848" max="4848" width="7.85546875" bestFit="1" customWidth="1"/>
    <col min="4849" max="4849" width="13.28515625" customWidth="1"/>
    <col min="4850" max="4850" width="7.7109375" bestFit="1" customWidth="1"/>
    <col min="4851" max="4851" width="14.7109375" customWidth="1"/>
    <col min="4852" max="4852" width="7.85546875" bestFit="1" customWidth="1"/>
    <col min="5101" max="5101" width="37.42578125" bestFit="1" customWidth="1"/>
    <col min="5102" max="5102" width="13.85546875" bestFit="1" customWidth="1"/>
    <col min="5103" max="5103" width="13.42578125" customWidth="1"/>
    <col min="5104" max="5104" width="7.85546875" bestFit="1" customWidth="1"/>
    <col min="5105" max="5105" width="13.28515625" customWidth="1"/>
    <col min="5106" max="5106" width="7.7109375" bestFit="1" customWidth="1"/>
    <col min="5107" max="5107" width="14.7109375" customWidth="1"/>
    <col min="5108" max="5108" width="7.85546875" bestFit="1" customWidth="1"/>
    <col min="5357" max="5357" width="37.42578125" bestFit="1" customWidth="1"/>
    <col min="5358" max="5358" width="13.85546875" bestFit="1" customWidth="1"/>
    <col min="5359" max="5359" width="13.42578125" customWidth="1"/>
    <col min="5360" max="5360" width="7.85546875" bestFit="1" customWidth="1"/>
    <col min="5361" max="5361" width="13.28515625" customWidth="1"/>
    <col min="5362" max="5362" width="7.7109375" bestFit="1" customWidth="1"/>
    <col min="5363" max="5363" width="14.7109375" customWidth="1"/>
    <col min="5364" max="5364" width="7.85546875" bestFit="1" customWidth="1"/>
    <col min="5613" max="5613" width="37.42578125" bestFit="1" customWidth="1"/>
    <col min="5614" max="5614" width="13.85546875" bestFit="1" customWidth="1"/>
    <col min="5615" max="5615" width="13.42578125" customWidth="1"/>
    <col min="5616" max="5616" width="7.85546875" bestFit="1" customWidth="1"/>
    <col min="5617" max="5617" width="13.28515625" customWidth="1"/>
    <col min="5618" max="5618" width="7.7109375" bestFit="1" customWidth="1"/>
    <col min="5619" max="5619" width="14.7109375" customWidth="1"/>
    <col min="5620" max="5620" width="7.85546875" bestFit="1" customWidth="1"/>
    <col min="5869" max="5869" width="37.42578125" bestFit="1" customWidth="1"/>
    <col min="5870" max="5870" width="13.85546875" bestFit="1" customWidth="1"/>
    <col min="5871" max="5871" width="13.42578125" customWidth="1"/>
    <col min="5872" max="5872" width="7.85546875" bestFit="1" customWidth="1"/>
    <col min="5873" max="5873" width="13.28515625" customWidth="1"/>
    <col min="5874" max="5874" width="7.7109375" bestFit="1" customWidth="1"/>
    <col min="5875" max="5875" width="14.7109375" customWidth="1"/>
    <col min="5876" max="5876" width="7.85546875" bestFit="1" customWidth="1"/>
    <col min="6125" max="6125" width="37.42578125" bestFit="1" customWidth="1"/>
    <col min="6126" max="6126" width="13.85546875" bestFit="1" customWidth="1"/>
    <col min="6127" max="6127" width="13.42578125" customWidth="1"/>
    <col min="6128" max="6128" width="7.85546875" bestFit="1" customWidth="1"/>
    <col min="6129" max="6129" width="13.28515625" customWidth="1"/>
    <col min="6130" max="6130" width="7.7109375" bestFit="1" customWidth="1"/>
    <col min="6131" max="6131" width="14.7109375" customWidth="1"/>
    <col min="6132" max="6132" width="7.85546875" bestFit="1" customWidth="1"/>
    <col min="6381" max="6381" width="37.42578125" bestFit="1" customWidth="1"/>
    <col min="6382" max="6382" width="13.85546875" bestFit="1" customWidth="1"/>
    <col min="6383" max="6383" width="13.42578125" customWidth="1"/>
    <col min="6384" max="6384" width="7.85546875" bestFit="1" customWidth="1"/>
    <col min="6385" max="6385" width="13.28515625" customWidth="1"/>
    <col min="6386" max="6386" width="7.7109375" bestFit="1" customWidth="1"/>
    <col min="6387" max="6387" width="14.7109375" customWidth="1"/>
    <col min="6388" max="6388" width="7.85546875" bestFit="1" customWidth="1"/>
    <col min="6637" max="6637" width="37.42578125" bestFit="1" customWidth="1"/>
    <col min="6638" max="6638" width="13.85546875" bestFit="1" customWidth="1"/>
    <col min="6639" max="6639" width="13.42578125" customWidth="1"/>
    <col min="6640" max="6640" width="7.85546875" bestFit="1" customWidth="1"/>
    <col min="6641" max="6641" width="13.28515625" customWidth="1"/>
    <col min="6642" max="6642" width="7.7109375" bestFit="1" customWidth="1"/>
    <col min="6643" max="6643" width="14.7109375" customWidth="1"/>
    <col min="6644" max="6644" width="7.85546875" bestFit="1" customWidth="1"/>
    <col min="6893" max="6893" width="37.42578125" bestFit="1" customWidth="1"/>
    <col min="6894" max="6894" width="13.85546875" bestFit="1" customWidth="1"/>
    <col min="6895" max="6895" width="13.42578125" customWidth="1"/>
    <col min="6896" max="6896" width="7.85546875" bestFit="1" customWidth="1"/>
    <col min="6897" max="6897" width="13.28515625" customWidth="1"/>
    <col min="6898" max="6898" width="7.7109375" bestFit="1" customWidth="1"/>
    <col min="6899" max="6899" width="14.7109375" customWidth="1"/>
    <col min="6900" max="6900" width="7.85546875" bestFit="1" customWidth="1"/>
    <col min="7149" max="7149" width="37.42578125" bestFit="1" customWidth="1"/>
    <col min="7150" max="7150" width="13.85546875" bestFit="1" customWidth="1"/>
    <col min="7151" max="7151" width="13.42578125" customWidth="1"/>
    <col min="7152" max="7152" width="7.85546875" bestFit="1" customWidth="1"/>
    <col min="7153" max="7153" width="13.28515625" customWidth="1"/>
    <col min="7154" max="7154" width="7.7109375" bestFit="1" customWidth="1"/>
    <col min="7155" max="7155" width="14.7109375" customWidth="1"/>
    <col min="7156" max="7156" width="7.85546875" bestFit="1" customWidth="1"/>
    <col min="7405" max="7405" width="37.42578125" bestFit="1" customWidth="1"/>
    <col min="7406" max="7406" width="13.85546875" bestFit="1" customWidth="1"/>
    <col min="7407" max="7407" width="13.42578125" customWidth="1"/>
    <col min="7408" max="7408" width="7.85546875" bestFit="1" customWidth="1"/>
    <col min="7409" max="7409" width="13.28515625" customWidth="1"/>
    <col min="7410" max="7410" width="7.7109375" bestFit="1" customWidth="1"/>
    <col min="7411" max="7411" width="14.7109375" customWidth="1"/>
    <col min="7412" max="7412" width="7.85546875" bestFit="1" customWidth="1"/>
    <col min="7661" max="7661" width="37.42578125" bestFit="1" customWidth="1"/>
    <col min="7662" max="7662" width="13.85546875" bestFit="1" customWidth="1"/>
    <col min="7663" max="7663" width="13.42578125" customWidth="1"/>
    <col min="7664" max="7664" width="7.85546875" bestFit="1" customWidth="1"/>
    <col min="7665" max="7665" width="13.28515625" customWidth="1"/>
    <col min="7666" max="7666" width="7.7109375" bestFit="1" customWidth="1"/>
    <col min="7667" max="7667" width="14.7109375" customWidth="1"/>
    <col min="7668" max="7668" width="7.85546875" bestFit="1" customWidth="1"/>
    <col min="7917" max="7917" width="37.42578125" bestFit="1" customWidth="1"/>
    <col min="7918" max="7918" width="13.85546875" bestFit="1" customWidth="1"/>
    <col min="7919" max="7919" width="13.42578125" customWidth="1"/>
    <col min="7920" max="7920" width="7.85546875" bestFit="1" customWidth="1"/>
    <col min="7921" max="7921" width="13.28515625" customWidth="1"/>
    <col min="7922" max="7922" width="7.7109375" bestFit="1" customWidth="1"/>
    <col min="7923" max="7923" width="14.7109375" customWidth="1"/>
    <col min="7924" max="7924" width="7.85546875" bestFit="1" customWidth="1"/>
    <col min="8173" max="8173" width="37.42578125" bestFit="1" customWidth="1"/>
    <col min="8174" max="8174" width="13.85546875" bestFit="1" customWidth="1"/>
    <col min="8175" max="8175" width="13.42578125" customWidth="1"/>
    <col min="8176" max="8176" width="7.85546875" bestFit="1" customWidth="1"/>
    <col min="8177" max="8177" width="13.28515625" customWidth="1"/>
    <col min="8178" max="8178" width="7.7109375" bestFit="1" customWidth="1"/>
    <col min="8179" max="8179" width="14.7109375" customWidth="1"/>
    <col min="8180" max="8180" width="7.85546875" bestFit="1" customWidth="1"/>
    <col min="8429" max="8429" width="37.42578125" bestFit="1" customWidth="1"/>
    <col min="8430" max="8430" width="13.85546875" bestFit="1" customWidth="1"/>
    <col min="8431" max="8431" width="13.42578125" customWidth="1"/>
    <col min="8432" max="8432" width="7.85546875" bestFit="1" customWidth="1"/>
    <col min="8433" max="8433" width="13.28515625" customWidth="1"/>
    <col min="8434" max="8434" width="7.7109375" bestFit="1" customWidth="1"/>
    <col min="8435" max="8435" width="14.7109375" customWidth="1"/>
    <col min="8436" max="8436" width="7.85546875" bestFit="1" customWidth="1"/>
    <col min="8685" max="8685" width="37.42578125" bestFit="1" customWidth="1"/>
    <col min="8686" max="8686" width="13.85546875" bestFit="1" customWidth="1"/>
    <col min="8687" max="8687" width="13.42578125" customWidth="1"/>
    <col min="8688" max="8688" width="7.85546875" bestFit="1" customWidth="1"/>
    <col min="8689" max="8689" width="13.28515625" customWidth="1"/>
    <col min="8690" max="8690" width="7.7109375" bestFit="1" customWidth="1"/>
    <col min="8691" max="8691" width="14.7109375" customWidth="1"/>
    <col min="8692" max="8692" width="7.85546875" bestFit="1" customWidth="1"/>
    <col min="8941" max="8941" width="37.42578125" bestFit="1" customWidth="1"/>
    <col min="8942" max="8942" width="13.85546875" bestFit="1" customWidth="1"/>
    <col min="8943" max="8943" width="13.42578125" customWidth="1"/>
    <col min="8944" max="8944" width="7.85546875" bestFit="1" customWidth="1"/>
    <col min="8945" max="8945" width="13.28515625" customWidth="1"/>
    <col min="8946" max="8946" width="7.7109375" bestFit="1" customWidth="1"/>
    <col min="8947" max="8947" width="14.7109375" customWidth="1"/>
    <col min="8948" max="8948" width="7.85546875" bestFit="1" customWidth="1"/>
    <col min="9197" max="9197" width="37.42578125" bestFit="1" customWidth="1"/>
    <col min="9198" max="9198" width="13.85546875" bestFit="1" customWidth="1"/>
    <col min="9199" max="9199" width="13.42578125" customWidth="1"/>
    <col min="9200" max="9200" width="7.85546875" bestFit="1" customWidth="1"/>
    <col min="9201" max="9201" width="13.28515625" customWidth="1"/>
    <col min="9202" max="9202" width="7.7109375" bestFit="1" customWidth="1"/>
    <col min="9203" max="9203" width="14.7109375" customWidth="1"/>
    <col min="9204" max="9204" width="7.85546875" bestFit="1" customWidth="1"/>
    <col min="9453" max="9453" width="37.42578125" bestFit="1" customWidth="1"/>
    <col min="9454" max="9454" width="13.85546875" bestFit="1" customWidth="1"/>
    <col min="9455" max="9455" width="13.42578125" customWidth="1"/>
    <col min="9456" max="9456" width="7.85546875" bestFit="1" customWidth="1"/>
    <col min="9457" max="9457" width="13.28515625" customWidth="1"/>
    <col min="9458" max="9458" width="7.7109375" bestFit="1" customWidth="1"/>
    <col min="9459" max="9459" width="14.7109375" customWidth="1"/>
    <col min="9460" max="9460" width="7.85546875" bestFit="1" customWidth="1"/>
    <col min="9709" max="9709" width="37.42578125" bestFit="1" customWidth="1"/>
    <col min="9710" max="9710" width="13.85546875" bestFit="1" customWidth="1"/>
    <col min="9711" max="9711" width="13.42578125" customWidth="1"/>
    <col min="9712" max="9712" width="7.85546875" bestFit="1" customWidth="1"/>
    <col min="9713" max="9713" width="13.28515625" customWidth="1"/>
    <col min="9714" max="9714" width="7.7109375" bestFit="1" customWidth="1"/>
    <col min="9715" max="9715" width="14.7109375" customWidth="1"/>
    <col min="9716" max="9716" width="7.85546875" bestFit="1" customWidth="1"/>
    <col min="9965" max="9965" width="37.42578125" bestFit="1" customWidth="1"/>
    <col min="9966" max="9966" width="13.85546875" bestFit="1" customWidth="1"/>
    <col min="9967" max="9967" width="13.42578125" customWidth="1"/>
    <col min="9968" max="9968" width="7.85546875" bestFit="1" customWidth="1"/>
    <col min="9969" max="9969" width="13.28515625" customWidth="1"/>
    <col min="9970" max="9970" width="7.7109375" bestFit="1" customWidth="1"/>
    <col min="9971" max="9971" width="14.7109375" customWidth="1"/>
    <col min="9972" max="9972" width="7.85546875" bestFit="1" customWidth="1"/>
    <col min="10221" max="10221" width="37.42578125" bestFit="1" customWidth="1"/>
    <col min="10222" max="10222" width="13.85546875" bestFit="1" customWidth="1"/>
    <col min="10223" max="10223" width="13.42578125" customWidth="1"/>
    <col min="10224" max="10224" width="7.85546875" bestFit="1" customWidth="1"/>
    <col min="10225" max="10225" width="13.28515625" customWidth="1"/>
    <col min="10226" max="10226" width="7.7109375" bestFit="1" customWidth="1"/>
    <col min="10227" max="10227" width="14.7109375" customWidth="1"/>
    <col min="10228" max="10228" width="7.85546875" bestFit="1" customWidth="1"/>
    <col min="10477" max="10477" width="37.42578125" bestFit="1" customWidth="1"/>
    <col min="10478" max="10478" width="13.85546875" bestFit="1" customWidth="1"/>
    <col min="10479" max="10479" width="13.42578125" customWidth="1"/>
    <col min="10480" max="10480" width="7.85546875" bestFit="1" customWidth="1"/>
    <col min="10481" max="10481" width="13.28515625" customWidth="1"/>
    <col min="10482" max="10482" width="7.7109375" bestFit="1" customWidth="1"/>
    <col min="10483" max="10483" width="14.7109375" customWidth="1"/>
    <col min="10484" max="10484" width="7.85546875" bestFit="1" customWidth="1"/>
    <col min="10733" max="10733" width="37.42578125" bestFit="1" customWidth="1"/>
    <col min="10734" max="10734" width="13.85546875" bestFit="1" customWidth="1"/>
    <col min="10735" max="10735" width="13.42578125" customWidth="1"/>
    <col min="10736" max="10736" width="7.85546875" bestFit="1" customWidth="1"/>
    <col min="10737" max="10737" width="13.28515625" customWidth="1"/>
    <col min="10738" max="10738" width="7.7109375" bestFit="1" customWidth="1"/>
    <col min="10739" max="10739" width="14.7109375" customWidth="1"/>
    <col min="10740" max="10740" width="7.85546875" bestFit="1" customWidth="1"/>
    <col min="10989" max="10989" width="37.42578125" bestFit="1" customWidth="1"/>
    <col min="10990" max="10990" width="13.85546875" bestFit="1" customWidth="1"/>
    <col min="10991" max="10991" width="13.42578125" customWidth="1"/>
    <col min="10992" max="10992" width="7.85546875" bestFit="1" customWidth="1"/>
    <col min="10993" max="10993" width="13.28515625" customWidth="1"/>
    <col min="10994" max="10994" width="7.7109375" bestFit="1" customWidth="1"/>
    <col min="10995" max="10995" width="14.7109375" customWidth="1"/>
    <col min="10996" max="10996" width="7.85546875" bestFit="1" customWidth="1"/>
    <col min="11245" max="11245" width="37.42578125" bestFit="1" customWidth="1"/>
    <col min="11246" max="11246" width="13.85546875" bestFit="1" customWidth="1"/>
    <col min="11247" max="11247" width="13.42578125" customWidth="1"/>
    <col min="11248" max="11248" width="7.85546875" bestFit="1" customWidth="1"/>
    <col min="11249" max="11249" width="13.28515625" customWidth="1"/>
    <col min="11250" max="11250" width="7.7109375" bestFit="1" customWidth="1"/>
    <col min="11251" max="11251" width="14.7109375" customWidth="1"/>
    <col min="11252" max="11252" width="7.85546875" bestFit="1" customWidth="1"/>
    <col min="11501" max="11501" width="37.42578125" bestFit="1" customWidth="1"/>
    <col min="11502" max="11502" width="13.85546875" bestFit="1" customWidth="1"/>
    <col min="11503" max="11503" width="13.42578125" customWidth="1"/>
    <col min="11504" max="11504" width="7.85546875" bestFit="1" customWidth="1"/>
    <col min="11505" max="11505" width="13.28515625" customWidth="1"/>
    <col min="11506" max="11506" width="7.7109375" bestFit="1" customWidth="1"/>
    <col min="11507" max="11507" width="14.7109375" customWidth="1"/>
    <col min="11508" max="11508" width="7.85546875" bestFit="1" customWidth="1"/>
    <col min="11757" max="11757" width="37.42578125" bestFit="1" customWidth="1"/>
    <col min="11758" max="11758" width="13.85546875" bestFit="1" customWidth="1"/>
    <col min="11759" max="11759" width="13.42578125" customWidth="1"/>
    <col min="11760" max="11760" width="7.85546875" bestFit="1" customWidth="1"/>
    <col min="11761" max="11761" width="13.28515625" customWidth="1"/>
    <col min="11762" max="11762" width="7.7109375" bestFit="1" customWidth="1"/>
    <col min="11763" max="11763" width="14.7109375" customWidth="1"/>
    <col min="11764" max="11764" width="7.85546875" bestFit="1" customWidth="1"/>
    <col min="12013" max="12013" width="37.42578125" bestFit="1" customWidth="1"/>
    <col min="12014" max="12014" width="13.85546875" bestFit="1" customWidth="1"/>
    <col min="12015" max="12015" width="13.42578125" customWidth="1"/>
    <col min="12016" max="12016" width="7.85546875" bestFit="1" customWidth="1"/>
    <col min="12017" max="12017" width="13.28515625" customWidth="1"/>
    <col min="12018" max="12018" width="7.7109375" bestFit="1" customWidth="1"/>
    <col min="12019" max="12019" width="14.7109375" customWidth="1"/>
    <col min="12020" max="12020" width="7.85546875" bestFit="1" customWidth="1"/>
    <col min="12269" max="12269" width="37.42578125" bestFit="1" customWidth="1"/>
    <col min="12270" max="12270" width="13.85546875" bestFit="1" customWidth="1"/>
    <col min="12271" max="12271" width="13.42578125" customWidth="1"/>
    <col min="12272" max="12272" width="7.85546875" bestFit="1" customWidth="1"/>
    <col min="12273" max="12273" width="13.28515625" customWidth="1"/>
    <col min="12274" max="12274" width="7.7109375" bestFit="1" customWidth="1"/>
    <col min="12275" max="12275" width="14.7109375" customWidth="1"/>
    <col min="12276" max="12276" width="7.85546875" bestFit="1" customWidth="1"/>
    <col min="12525" max="12525" width="37.42578125" bestFit="1" customWidth="1"/>
    <col min="12526" max="12526" width="13.85546875" bestFit="1" customWidth="1"/>
    <col min="12527" max="12527" width="13.42578125" customWidth="1"/>
    <col min="12528" max="12528" width="7.85546875" bestFit="1" customWidth="1"/>
    <col min="12529" max="12529" width="13.28515625" customWidth="1"/>
    <col min="12530" max="12530" width="7.7109375" bestFit="1" customWidth="1"/>
    <col min="12531" max="12531" width="14.7109375" customWidth="1"/>
    <col min="12532" max="12532" width="7.85546875" bestFit="1" customWidth="1"/>
    <col min="12781" max="12781" width="37.42578125" bestFit="1" customWidth="1"/>
    <col min="12782" max="12782" width="13.85546875" bestFit="1" customWidth="1"/>
    <col min="12783" max="12783" width="13.42578125" customWidth="1"/>
    <col min="12784" max="12784" width="7.85546875" bestFit="1" customWidth="1"/>
    <col min="12785" max="12785" width="13.28515625" customWidth="1"/>
    <col min="12786" max="12786" width="7.7109375" bestFit="1" customWidth="1"/>
    <col min="12787" max="12787" width="14.7109375" customWidth="1"/>
    <col min="12788" max="12788" width="7.85546875" bestFit="1" customWidth="1"/>
    <col min="13037" max="13037" width="37.42578125" bestFit="1" customWidth="1"/>
    <col min="13038" max="13038" width="13.85546875" bestFit="1" customWidth="1"/>
    <col min="13039" max="13039" width="13.42578125" customWidth="1"/>
    <col min="13040" max="13040" width="7.85546875" bestFit="1" customWidth="1"/>
    <col min="13041" max="13041" width="13.28515625" customWidth="1"/>
    <col min="13042" max="13042" width="7.7109375" bestFit="1" customWidth="1"/>
    <col min="13043" max="13043" width="14.7109375" customWidth="1"/>
    <col min="13044" max="13044" width="7.85546875" bestFit="1" customWidth="1"/>
    <col min="13293" max="13293" width="37.42578125" bestFit="1" customWidth="1"/>
    <col min="13294" max="13294" width="13.85546875" bestFit="1" customWidth="1"/>
    <col min="13295" max="13295" width="13.42578125" customWidth="1"/>
    <col min="13296" max="13296" width="7.85546875" bestFit="1" customWidth="1"/>
    <col min="13297" max="13297" width="13.28515625" customWidth="1"/>
    <col min="13298" max="13298" width="7.7109375" bestFit="1" customWidth="1"/>
    <col min="13299" max="13299" width="14.7109375" customWidth="1"/>
    <col min="13300" max="13300" width="7.85546875" bestFit="1" customWidth="1"/>
    <col min="13549" max="13549" width="37.42578125" bestFit="1" customWidth="1"/>
    <col min="13550" max="13550" width="13.85546875" bestFit="1" customWidth="1"/>
    <col min="13551" max="13551" width="13.42578125" customWidth="1"/>
    <col min="13552" max="13552" width="7.85546875" bestFit="1" customWidth="1"/>
    <col min="13553" max="13553" width="13.28515625" customWidth="1"/>
    <col min="13554" max="13554" width="7.7109375" bestFit="1" customWidth="1"/>
    <col min="13555" max="13555" width="14.7109375" customWidth="1"/>
    <col min="13556" max="13556" width="7.85546875" bestFit="1" customWidth="1"/>
    <col min="13805" max="13805" width="37.42578125" bestFit="1" customWidth="1"/>
    <col min="13806" max="13806" width="13.85546875" bestFit="1" customWidth="1"/>
    <col min="13807" max="13807" width="13.42578125" customWidth="1"/>
    <col min="13808" max="13808" width="7.85546875" bestFit="1" customWidth="1"/>
    <col min="13809" max="13809" width="13.28515625" customWidth="1"/>
    <col min="13810" max="13810" width="7.7109375" bestFit="1" customWidth="1"/>
    <col min="13811" max="13811" width="14.7109375" customWidth="1"/>
    <col min="13812" max="13812" width="7.85546875" bestFit="1" customWidth="1"/>
    <col min="14061" max="14061" width="37.42578125" bestFit="1" customWidth="1"/>
    <col min="14062" max="14062" width="13.85546875" bestFit="1" customWidth="1"/>
    <col min="14063" max="14063" width="13.42578125" customWidth="1"/>
    <col min="14064" max="14064" width="7.85546875" bestFit="1" customWidth="1"/>
    <col min="14065" max="14065" width="13.28515625" customWidth="1"/>
    <col min="14066" max="14066" width="7.7109375" bestFit="1" customWidth="1"/>
    <col min="14067" max="14067" width="14.7109375" customWidth="1"/>
    <col min="14068" max="14068" width="7.85546875" bestFit="1" customWidth="1"/>
    <col min="14317" max="14317" width="37.42578125" bestFit="1" customWidth="1"/>
    <col min="14318" max="14318" width="13.85546875" bestFit="1" customWidth="1"/>
    <col min="14319" max="14319" width="13.42578125" customWidth="1"/>
    <col min="14320" max="14320" width="7.85546875" bestFit="1" customWidth="1"/>
    <col min="14321" max="14321" width="13.28515625" customWidth="1"/>
    <col min="14322" max="14322" width="7.7109375" bestFit="1" customWidth="1"/>
    <col min="14323" max="14323" width="14.7109375" customWidth="1"/>
    <col min="14324" max="14324" width="7.85546875" bestFit="1" customWidth="1"/>
    <col min="14573" max="14573" width="37.42578125" bestFit="1" customWidth="1"/>
    <col min="14574" max="14574" width="13.85546875" bestFit="1" customWidth="1"/>
    <col min="14575" max="14575" width="13.42578125" customWidth="1"/>
    <col min="14576" max="14576" width="7.85546875" bestFit="1" customWidth="1"/>
    <col min="14577" max="14577" width="13.28515625" customWidth="1"/>
    <col min="14578" max="14578" width="7.7109375" bestFit="1" customWidth="1"/>
    <col min="14579" max="14579" width="14.7109375" customWidth="1"/>
    <col min="14580" max="14580" width="7.85546875" bestFit="1" customWidth="1"/>
    <col min="14829" max="14829" width="37.42578125" bestFit="1" customWidth="1"/>
    <col min="14830" max="14830" width="13.85546875" bestFit="1" customWidth="1"/>
    <col min="14831" max="14831" width="13.42578125" customWidth="1"/>
    <col min="14832" max="14832" width="7.85546875" bestFit="1" customWidth="1"/>
    <col min="14833" max="14833" width="13.28515625" customWidth="1"/>
    <col min="14834" max="14834" width="7.7109375" bestFit="1" customWidth="1"/>
    <col min="14835" max="14835" width="14.7109375" customWidth="1"/>
    <col min="14836" max="14836" width="7.85546875" bestFit="1" customWidth="1"/>
    <col min="15085" max="15085" width="37.42578125" bestFit="1" customWidth="1"/>
    <col min="15086" max="15086" width="13.85546875" bestFit="1" customWidth="1"/>
    <col min="15087" max="15087" width="13.42578125" customWidth="1"/>
    <col min="15088" max="15088" width="7.85546875" bestFit="1" customWidth="1"/>
    <col min="15089" max="15089" width="13.28515625" customWidth="1"/>
    <col min="15090" max="15090" width="7.7109375" bestFit="1" customWidth="1"/>
    <col min="15091" max="15091" width="14.7109375" customWidth="1"/>
    <col min="15092" max="15092" width="7.85546875" bestFit="1" customWidth="1"/>
    <col min="15341" max="15341" width="37.42578125" bestFit="1" customWidth="1"/>
    <col min="15342" max="15342" width="13.85546875" bestFit="1" customWidth="1"/>
    <col min="15343" max="15343" width="13.42578125" customWidth="1"/>
    <col min="15344" max="15344" width="7.85546875" bestFit="1" customWidth="1"/>
    <col min="15345" max="15345" width="13.28515625" customWidth="1"/>
    <col min="15346" max="15346" width="7.7109375" bestFit="1" customWidth="1"/>
    <col min="15347" max="15347" width="14.7109375" customWidth="1"/>
    <col min="15348" max="15348" width="7.85546875" bestFit="1" customWidth="1"/>
    <col min="15597" max="15597" width="37.42578125" bestFit="1" customWidth="1"/>
    <col min="15598" max="15598" width="13.85546875" bestFit="1" customWidth="1"/>
    <col min="15599" max="15599" width="13.42578125" customWidth="1"/>
    <col min="15600" max="15600" width="7.85546875" bestFit="1" customWidth="1"/>
    <col min="15601" max="15601" width="13.28515625" customWidth="1"/>
    <col min="15602" max="15602" width="7.7109375" bestFit="1" customWidth="1"/>
    <col min="15603" max="15603" width="14.7109375" customWidth="1"/>
    <col min="15604" max="15604" width="7.85546875" bestFit="1" customWidth="1"/>
    <col min="15853" max="15853" width="37.42578125" bestFit="1" customWidth="1"/>
    <col min="15854" max="15854" width="13.85546875" bestFit="1" customWidth="1"/>
    <col min="15855" max="15855" width="13.42578125" customWidth="1"/>
    <col min="15856" max="15856" width="7.85546875" bestFit="1" customWidth="1"/>
    <col min="15857" max="15857" width="13.28515625" customWidth="1"/>
    <col min="15858" max="15858" width="7.7109375" bestFit="1" customWidth="1"/>
    <col min="15859" max="15859" width="14.7109375" customWidth="1"/>
    <col min="15860" max="15860" width="7.85546875" bestFit="1" customWidth="1"/>
    <col min="16109" max="16109" width="37.42578125" bestFit="1" customWidth="1"/>
    <col min="16110" max="16110" width="13.85546875" bestFit="1" customWidth="1"/>
    <col min="16111" max="16111" width="13.42578125" customWidth="1"/>
    <col min="16112" max="16112" width="7.85546875" bestFit="1" customWidth="1"/>
    <col min="16113" max="16113" width="13.28515625" customWidth="1"/>
    <col min="16114" max="16114" width="7.7109375" bestFit="1" customWidth="1"/>
    <col min="16115" max="16115" width="14.7109375" customWidth="1"/>
    <col min="16116" max="16116" width="7.85546875" bestFit="1" customWidth="1"/>
  </cols>
  <sheetData>
    <row r="2" spans="1:36" x14ac:dyDescent="0.25">
      <c r="H2" s="20"/>
      <c r="P2" s="375"/>
    </row>
    <row r="3" spans="1:36" ht="15.75" thickBot="1" x14ac:dyDescent="0.3">
      <c r="N3" s="20"/>
      <c r="S3" s="490"/>
      <c r="T3" s="87"/>
      <c r="U3" s="87"/>
      <c r="V3" s="87"/>
      <c r="W3" s="87"/>
      <c r="X3" s="87"/>
      <c r="Y3" s="87"/>
      <c r="Z3" s="87"/>
      <c r="AA3" s="87"/>
      <c r="AB3" s="87"/>
    </row>
    <row r="4" spans="1:36" ht="26.25" customHeight="1" thickBot="1" x14ac:dyDescent="0.3">
      <c r="B4" s="471" t="s">
        <v>0</v>
      </c>
      <c r="C4" s="492">
        <v>2021</v>
      </c>
      <c r="D4" s="494">
        <v>2022</v>
      </c>
      <c r="E4" s="496" t="s">
        <v>1</v>
      </c>
      <c r="F4" s="498" t="s">
        <v>444</v>
      </c>
      <c r="G4" s="494"/>
      <c r="H4" s="501" t="s">
        <v>450</v>
      </c>
      <c r="I4" s="502"/>
      <c r="J4"/>
      <c r="K4"/>
      <c r="M4"/>
      <c r="N4" s="398"/>
      <c r="S4" s="491"/>
      <c r="T4" s="87"/>
      <c r="U4" s="87"/>
      <c r="V4" s="87"/>
      <c r="W4" s="87"/>
      <c r="X4" s="87"/>
      <c r="Y4" s="87"/>
      <c r="Z4" s="87"/>
      <c r="AA4" s="87"/>
      <c r="AB4" s="87"/>
    </row>
    <row r="5" spans="1:36" ht="46.9" customHeight="1" thickBot="1" x14ac:dyDescent="0.3">
      <c r="B5" s="472"/>
      <c r="C5" s="493"/>
      <c r="D5" s="495"/>
      <c r="E5" s="497"/>
      <c r="F5" s="499"/>
      <c r="G5" s="500"/>
      <c r="H5" s="503"/>
      <c r="I5" s="504"/>
      <c r="J5"/>
      <c r="K5" s="448"/>
      <c r="L5" s="449">
        <f>SUM(L7:L26)</f>
        <v>51244839</v>
      </c>
      <c r="M5" s="450"/>
      <c r="N5" s="449">
        <f>SUM(N7:N26)</f>
        <v>57420895</v>
      </c>
      <c r="O5" s="451"/>
      <c r="P5" s="449">
        <f>SUM(P7:P26)</f>
        <v>59759965</v>
      </c>
      <c r="Q5" s="447">
        <f>SUM(Q7:Q26)</f>
        <v>51244</v>
      </c>
      <c r="R5" s="447">
        <f>SUM(R7:R26)</f>
        <v>57421</v>
      </c>
      <c r="S5" s="447">
        <f>SUM(S7:S26)</f>
        <v>59759.965000000011</v>
      </c>
      <c r="T5" s="447">
        <f>SUM(T7:T26)</f>
        <v>43074</v>
      </c>
      <c r="U5" s="390"/>
    </row>
    <row r="6" spans="1:36" ht="21.75" customHeight="1" x14ac:dyDescent="0.3">
      <c r="B6" s="116" t="s">
        <v>2</v>
      </c>
      <c r="C6" s="206"/>
      <c r="D6" s="223"/>
      <c r="E6" s="2"/>
      <c r="F6" s="2"/>
      <c r="G6" s="2"/>
      <c r="H6" s="223"/>
      <c r="I6" s="149"/>
      <c r="J6"/>
      <c r="K6" s="488">
        <v>2021</v>
      </c>
      <c r="L6" s="489"/>
      <c r="M6" s="488">
        <v>2022</v>
      </c>
      <c r="N6" s="488"/>
      <c r="O6" s="488">
        <v>2023</v>
      </c>
      <c r="P6" s="488"/>
      <c r="Q6" s="428">
        <v>2021</v>
      </c>
      <c r="R6" s="428">
        <v>2022</v>
      </c>
      <c r="S6" s="428">
        <v>2023</v>
      </c>
      <c r="T6" s="428" t="s">
        <v>446</v>
      </c>
      <c r="U6" s="391"/>
      <c r="V6" s="404" t="s">
        <v>409</v>
      </c>
      <c r="W6" s="404" t="s">
        <v>445</v>
      </c>
      <c r="X6" s="404" t="s">
        <v>447</v>
      </c>
      <c r="Y6" s="404" t="s">
        <v>448</v>
      </c>
      <c r="Z6" s="405" t="s">
        <v>410</v>
      </c>
      <c r="AA6" s="405" t="s">
        <v>361</v>
      </c>
      <c r="AB6" s="405" t="s">
        <v>407</v>
      </c>
      <c r="AC6" s="405" t="s">
        <v>436</v>
      </c>
    </row>
    <row r="7" spans="1:36" ht="16.5" x14ac:dyDescent="0.25">
      <c r="B7" s="116" t="s">
        <v>3</v>
      </c>
      <c r="C7" s="41">
        <v>34763</v>
      </c>
      <c r="D7" s="41">
        <v>40457</v>
      </c>
      <c r="E7" s="53">
        <f>D7/D11</f>
        <v>0.7045680151860817</v>
      </c>
      <c r="F7" s="4">
        <v>45258</v>
      </c>
      <c r="G7" s="53">
        <f>F7/D7</f>
        <v>1.1186692043404107</v>
      </c>
      <c r="H7" s="41">
        <v>46117</v>
      </c>
      <c r="I7" s="369">
        <f>+H7/F7-1</f>
        <v>1.8980069821910028E-2</v>
      </c>
      <c r="J7"/>
      <c r="K7" s="231" t="s">
        <v>303</v>
      </c>
      <c r="L7" s="230">
        <v>321660</v>
      </c>
      <c r="M7" s="231" t="s">
        <v>303</v>
      </c>
      <c r="N7" s="230">
        <v>348715</v>
      </c>
      <c r="O7" s="232" t="s">
        <v>303</v>
      </c>
      <c r="P7" s="374">
        <v>348715</v>
      </c>
      <c r="Q7" s="238">
        <f>ROUND(L7/1000,0)</f>
        <v>322</v>
      </c>
      <c r="R7" s="388">
        <f>ROUND(N7/1000,0)</f>
        <v>349</v>
      </c>
      <c r="S7" s="239">
        <f>+P7/1000</f>
        <v>348.71499999999997</v>
      </c>
      <c r="T7" s="367">
        <f>ROUND(+AB7/1000,0)</f>
        <v>275</v>
      </c>
      <c r="U7" s="232" t="s">
        <v>303</v>
      </c>
      <c r="V7" s="402" t="s">
        <v>303</v>
      </c>
      <c r="W7" s="402">
        <v>330265</v>
      </c>
      <c r="X7" s="402">
        <v>18450</v>
      </c>
      <c r="Y7" s="402">
        <f>+X7+W7</f>
        <v>348715</v>
      </c>
      <c r="Z7" s="452">
        <v>256068.81</v>
      </c>
      <c r="AA7" s="453">
        <v>18450</v>
      </c>
      <c r="AB7" s="453">
        <f t="shared" ref="AB7:AB26" si="0">+AA7+Z7</f>
        <v>274518.81</v>
      </c>
      <c r="AC7" s="59">
        <f>+AB7/Y7</f>
        <v>0.78722971481008841</v>
      </c>
      <c r="AD7" s="458" t="s">
        <v>303</v>
      </c>
      <c r="AF7" s="59">
        <f>+P7/N7</f>
        <v>1</v>
      </c>
      <c r="AG7" s="462">
        <f>+P7-N7</f>
        <v>0</v>
      </c>
      <c r="AH7" s="146">
        <v>2</v>
      </c>
      <c r="AI7" s="440">
        <f>IF(AH7=2,AG7,0)</f>
        <v>0</v>
      </c>
      <c r="AJ7" s="440">
        <f>IF(AH7=1,AG7,0)</f>
        <v>0</v>
      </c>
    </row>
    <row r="8" spans="1:36" ht="20.45" customHeight="1" x14ac:dyDescent="0.25">
      <c r="B8" s="116" t="s">
        <v>4</v>
      </c>
      <c r="C8" s="41">
        <v>1739.3620617460565</v>
      </c>
      <c r="D8" s="41">
        <v>1772</v>
      </c>
      <c r="E8" s="53">
        <f>D8/D11</f>
        <v>3.0859789972309783E-2</v>
      </c>
      <c r="F8" s="4">
        <f>960+1157</f>
        <v>2117</v>
      </c>
      <c r="G8" s="53">
        <f>F8/D8</f>
        <v>1.1946952595936795</v>
      </c>
      <c r="H8" s="41">
        <v>2634</v>
      </c>
      <c r="I8" s="118">
        <f>+H8/F8-1</f>
        <v>0.24421350968351452</v>
      </c>
      <c r="J8"/>
      <c r="K8" s="231" t="s">
        <v>400</v>
      </c>
      <c r="L8" s="20">
        <v>236440</v>
      </c>
      <c r="M8" s="231" t="s">
        <v>400</v>
      </c>
      <c r="N8" s="230">
        <v>201405</v>
      </c>
      <c r="O8" s="232" t="s">
        <v>400</v>
      </c>
      <c r="P8" s="374">
        <v>205405</v>
      </c>
      <c r="Q8" s="238">
        <f t="shared" ref="Q8:Q26" si="1">ROUND(L8/1000,0)</f>
        <v>236</v>
      </c>
      <c r="R8" s="388">
        <f t="shared" ref="R8:R26" si="2">ROUND(N8/1000,0)</f>
        <v>201</v>
      </c>
      <c r="S8" s="239">
        <f t="shared" ref="S8:S26" si="3">+P8/1000</f>
        <v>205.405</v>
      </c>
      <c r="T8" s="367">
        <f t="shared" ref="T8:T26" si="4">ROUND(+AB8/1000,0)</f>
        <v>157</v>
      </c>
      <c r="U8" s="232" t="s">
        <v>400</v>
      </c>
      <c r="V8" s="402" t="s">
        <v>400</v>
      </c>
      <c r="W8" s="402">
        <v>176405</v>
      </c>
      <c r="X8" s="402">
        <v>25000</v>
      </c>
      <c r="Y8" s="402">
        <f t="shared" ref="Y8:Y26" si="5">+X8+W8</f>
        <v>201405</v>
      </c>
      <c r="Z8" s="452">
        <v>153195.51233333332</v>
      </c>
      <c r="AA8" s="453">
        <v>4141.9399999999996</v>
      </c>
      <c r="AB8" s="453">
        <f t="shared" si="0"/>
        <v>157337.45233333332</v>
      </c>
      <c r="AC8" s="59">
        <f t="shared" ref="AC8:AC27" si="6">+AB8/Y8</f>
        <v>0.78119933632895566</v>
      </c>
      <c r="AD8" s="458" t="s">
        <v>400</v>
      </c>
      <c r="AF8" s="59">
        <f t="shared" ref="AF8:AF26" si="7">+P8/N8</f>
        <v>1.0198604801271072</v>
      </c>
      <c r="AG8" s="462">
        <f t="shared" ref="AG8:AG26" si="8">+P8-N8</f>
        <v>4000</v>
      </c>
      <c r="AH8" s="146">
        <v>2</v>
      </c>
      <c r="AI8" s="440">
        <f t="shared" ref="AI8:AI26" si="9">IF(AH8=2,AG8,0)</f>
        <v>4000</v>
      </c>
      <c r="AJ8" s="440">
        <f t="shared" ref="AJ8:AJ26" si="10">IF(AH8=1,AG8,0)</f>
        <v>0</v>
      </c>
    </row>
    <row r="9" spans="1:36" ht="16.5" x14ac:dyDescent="0.25">
      <c r="B9" s="119" t="s">
        <v>5</v>
      </c>
      <c r="C9" s="30">
        <v>36502.362061746055</v>
      </c>
      <c r="D9" s="43">
        <v>42229</v>
      </c>
      <c r="E9" s="151">
        <f>D9/D11</f>
        <v>0.73542780515839157</v>
      </c>
      <c r="F9" s="30">
        <f>+F7+F8</f>
        <v>47375</v>
      </c>
      <c r="G9" s="71">
        <f>F9/D9</f>
        <v>1.1218593857301855</v>
      </c>
      <c r="H9" s="43">
        <f>SUM(H7:H8)</f>
        <v>48751</v>
      </c>
      <c r="I9" s="120">
        <f>+H9/F9-1</f>
        <v>2.9044854881266513E-2</v>
      </c>
      <c r="J9"/>
      <c r="K9" s="231" t="s">
        <v>304</v>
      </c>
      <c r="L9" s="230">
        <v>312480</v>
      </c>
      <c r="M9" s="231" t="s">
        <v>304</v>
      </c>
      <c r="N9" s="230">
        <v>306990</v>
      </c>
      <c r="O9" s="232" t="s">
        <v>304</v>
      </c>
      <c r="P9" s="374">
        <v>393390</v>
      </c>
      <c r="Q9" s="238">
        <f t="shared" si="1"/>
        <v>312</v>
      </c>
      <c r="R9" s="388">
        <f t="shared" si="2"/>
        <v>307</v>
      </c>
      <c r="S9" s="239">
        <f t="shared" si="3"/>
        <v>393.39</v>
      </c>
      <c r="T9" s="367">
        <f t="shared" si="4"/>
        <v>271</v>
      </c>
      <c r="U9" s="232" t="s">
        <v>304</v>
      </c>
      <c r="V9" s="402" t="s">
        <v>304</v>
      </c>
      <c r="W9" s="402">
        <v>212540</v>
      </c>
      <c r="X9" s="402">
        <v>94450</v>
      </c>
      <c r="Y9" s="402">
        <f t="shared" si="5"/>
        <v>306990</v>
      </c>
      <c r="Z9" s="452">
        <v>176560</v>
      </c>
      <c r="AA9" s="453">
        <v>94450</v>
      </c>
      <c r="AB9" s="453">
        <f t="shared" si="0"/>
        <v>271010</v>
      </c>
      <c r="AC9" s="59">
        <f t="shared" si="6"/>
        <v>0.88279748526010615</v>
      </c>
      <c r="AD9" s="458" t="s">
        <v>304</v>
      </c>
      <c r="AF9" s="59">
        <f t="shared" si="7"/>
        <v>1.2814423922603342</v>
      </c>
      <c r="AG9" s="462">
        <f t="shared" si="8"/>
        <v>86400</v>
      </c>
      <c r="AH9" s="146">
        <v>2</v>
      </c>
      <c r="AI9" s="440">
        <f t="shared" si="9"/>
        <v>86400</v>
      </c>
      <c r="AJ9" s="440">
        <f t="shared" si="10"/>
        <v>0</v>
      </c>
    </row>
    <row r="10" spans="1:36" ht="23.45" customHeight="1" x14ac:dyDescent="0.25">
      <c r="B10" s="121" t="s">
        <v>6</v>
      </c>
      <c r="C10" s="42">
        <f>+C13-C9</f>
        <v>14741.637938253945</v>
      </c>
      <c r="D10" s="42">
        <f>+D13-D9</f>
        <v>15192</v>
      </c>
      <c r="E10" s="61">
        <f>D10/D11</f>
        <v>0.26457219484160849</v>
      </c>
      <c r="F10" s="42">
        <f>IF((+F13-F9)&lt;0,0,F13-F9)</f>
        <v>0</v>
      </c>
      <c r="G10" s="61">
        <f>F10/D10</f>
        <v>0</v>
      </c>
      <c r="H10" s="42">
        <f>+H13-H9</f>
        <v>11008.965000000004</v>
      </c>
      <c r="I10" s="122">
        <v>1</v>
      </c>
      <c r="J10"/>
      <c r="K10" s="231" t="s">
        <v>305</v>
      </c>
      <c r="L10" s="230">
        <v>7222470</v>
      </c>
      <c r="M10" s="231" t="s">
        <v>305</v>
      </c>
      <c r="N10" s="230">
        <f>8034010</f>
        <v>8034010</v>
      </c>
      <c r="O10" s="232" t="s">
        <v>305</v>
      </c>
      <c r="P10" s="374">
        <f>4221895+3900000</f>
        <v>8121895</v>
      </c>
      <c r="Q10" s="238">
        <f t="shared" si="1"/>
        <v>7222</v>
      </c>
      <c r="R10" s="387">
        <f t="shared" si="2"/>
        <v>8034</v>
      </c>
      <c r="S10" s="239">
        <f t="shared" si="3"/>
        <v>8121.8950000000004</v>
      </c>
      <c r="T10" s="367">
        <f t="shared" si="4"/>
        <v>3458</v>
      </c>
      <c r="U10" s="232" t="s">
        <v>305</v>
      </c>
      <c r="V10" s="402" t="s">
        <v>305</v>
      </c>
      <c r="W10" s="402">
        <v>342975</v>
      </c>
      <c r="X10" s="402">
        <v>7691035</v>
      </c>
      <c r="Y10" s="402">
        <f t="shared" si="5"/>
        <v>8034010</v>
      </c>
      <c r="Z10" s="452">
        <v>157556.98583333334</v>
      </c>
      <c r="AA10" s="453">
        <v>3300597.26</v>
      </c>
      <c r="AB10" s="453">
        <f t="shared" si="0"/>
        <v>3458154.2458333331</v>
      </c>
      <c r="AC10" s="59">
        <f t="shared" si="6"/>
        <v>0.43043937533477467</v>
      </c>
      <c r="AD10" s="458" t="s">
        <v>305</v>
      </c>
      <c r="AF10" s="59">
        <f t="shared" si="7"/>
        <v>1.0109391200658202</v>
      </c>
      <c r="AG10" s="461">
        <f t="shared" si="8"/>
        <v>87885</v>
      </c>
      <c r="AH10" s="146">
        <v>1</v>
      </c>
      <c r="AI10" s="440">
        <f t="shared" si="9"/>
        <v>0</v>
      </c>
      <c r="AJ10" s="440">
        <f t="shared" si="10"/>
        <v>87885</v>
      </c>
    </row>
    <row r="11" spans="1:36" ht="19.899999999999999" customHeight="1" x14ac:dyDescent="0.25">
      <c r="B11" s="123" t="s">
        <v>7</v>
      </c>
      <c r="C11" s="33">
        <f>+C9+C10</f>
        <v>51244</v>
      </c>
      <c r="D11" s="33">
        <f>SUM(D9:D10)</f>
        <v>57421</v>
      </c>
      <c r="E11" s="152">
        <f>D11/D11</f>
        <v>1</v>
      </c>
      <c r="F11" s="33">
        <f>+F10+F9</f>
        <v>47375</v>
      </c>
      <c r="G11" s="34">
        <f>F11/D11</f>
        <v>0.82504658574389156</v>
      </c>
      <c r="H11" s="44">
        <f>SUM(H9:H10)</f>
        <v>59759.965000000004</v>
      </c>
      <c r="I11" s="248">
        <f>+H11/F11-1</f>
        <v>0.26142406332453838</v>
      </c>
      <c r="J11"/>
      <c r="K11" s="231" t="s">
        <v>312</v>
      </c>
      <c r="L11" s="230">
        <v>264855</v>
      </c>
      <c r="M11" s="231" t="s">
        <v>312</v>
      </c>
      <c r="N11" s="230">
        <v>267975</v>
      </c>
      <c r="O11" s="232" t="s">
        <v>312</v>
      </c>
      <c r="P11" s="374">
        <v>273245</v>
      </c>
      <c r="Q11" s="238">
        <f t="shared" si="1"/>
        <v>265</v>
      </c>
      <c r="R11" s="388">
        <f t="shared" si="2"/>
        <v>268</v>
      </c>
      <c r="S11" s="239">
        <f t="shared" si="3"/>
        <v>273.245</v>
      </c>
      <c r="T11" s="367">
        <f t="shared" si="4"/>
        <v>271</v>
      </c>
      <c r="U11" s="232" t="s">
        <v>312</v>
      </c>
      <c r="V11" s="402" t="s">
        <v>312</v>
      </c>
      <c r="W11" s="402">
        <v>220590</v>
      </c>
      <c r="X11" s="402">
        <v>47385</v>
      </c>
      <c r="Y11" s="402">
        <f t="shared" si="5"/>
        <v>267975</v>
      </c>
      <c r="Z11" s="452">
        <v>223117.67499999999</v>
      </c>
      <c r="AA11" s="453">
        <v>47385</v>
      </c>
      <c r="AB11" s="453">
        <f t="shared" si="0"/>
        <v>270502.67499999999</v>
      </c>
      <c r="AC11" s="59">
        <f t="shared" si="6"/>
        <v>1.0094325030319993</v>
      </c>
      <c r="AD11" s="458" t="s">
        <v>312</v>
      </c>
      <c r="AF11" s="59">
        <f t="shared" si="7"/>
        <v>1.0196660136206737</v>
      </c>
      <c r="AG11" s="462">
        <f t="shared" si="8"/>
        <v>5270</v>
      </c>
      <c r="AH11" s="146">
        <v>2</v>
      </c>
      <c r="AI11" s="440">
        <f t="shared" si="9"/>
        <v>5270</v>
      </c>
      <c r="AJ11" s="440">
        <f t="shared" si="10"/>
        <v>0</v>
      </c>
    </row>
    <row r="12" spans="1:36" ht="21.6" customHeight="1" x14ac:dyDescent="0.25">
      <c r="B12" s="116" t="s">
        <v>8</v>
      </c>
      <c r="C12" s="208"/>
      <c r="D12" s="208"/>
      <c r="E12" s="209"/>
      <c r="F12" s="208"/>
      <c r="G12" s="206"/>
      <c r="H12" s="208"/>
      <c r="I12" s="210"/>
      <c r="J12"/>
      <c r="K12" s="231" t="s">
        <v>313</v>
      </c>
      <c r="L12" s="230">
        <v>478550</v>
      </c>
      <c r="M12" s="231" t="s">
        <v>313</v>
      </c>
      <c r="N12" s="230">
        <v>507720</v>
      </c>
      <c r="O12" s="232" t="s">
        <v>313</v>
      </c>
      <c r="P12" s="374">
        <v>637205</v>
      </c>
      <c r="Q12" s="238">
        <f t="shared" si="1"/>
        <v>479</v>
      </c>
      <c r="R12" s="388">
        <f t="shared" si="2"/>
        <v>508</v>
      </c>
      <c r="S12" s="239">
        <f t="shared" si="3"/>
        <v>637.20500000000004</v>
      </c>
      <c r="T12" s="367">
        <f t="shared" si="4"/>
        <v>345</v>
      </c>
      <c r="U12" s="232" t="s">
        <v>313</v>
      </c>
      <c r="V12" s="402" t="s">
        <v>313</v>
      </c>
      <c r="W12" s="402">
        <v>187205</v>
      </c>
      <c r="X12" s="402">
        <v>320515</v>
      </c>
      <c r="Y12" s="402">
        <f t="shared" si="5"/>
        <v>507720</v>
      </c>
      <c r="Z12" s="452">
        <v>142802.92499999999</v>
      </c>
      <c r="AA12" s="453">
        <v>202650.13</v>
      </c>
      <c r="AB12" s="453">
        <f t="shared" si="0"/>
        <v>345453.05499999999</v>
      </c>
      <c r="AC12" s="59">
        <f t="shared" si="6"/>
        <v>0.68040072283936026</v>
      </c>
      <c r="AD12" s="458" t="s">
        <v>313</v>
      </c>
      <c r="AF12" s="59">
        <f t="shared" si="7"/>
        <v>1.2550323012684157</v>
      </c>
      <c r="AG12" s="462">
        <f t="shared" si="8"/>
        <v>129485</v>
      </c>
      <c r="AH12" s="146">
        <v>2</v>
      </c>
      <c r="AI12" s="440">
        <f t="shared" si="9"/>
        <v>129485</v>
      </c>
      <c r="AJ12" s="440">
        <f t="shared" si="10"/>
        <v>0</v>
      </c>
    </row>
    <row r="13" spans="1:36" ht="16.5" x14ac:dyDescent="0.25">
      <c r="B13" s="125" t="s">
        <v>9</v>
      </c>
      <c r="C13" s="33">
        <f>+C18+C24+C27+C28</f>
        <v>51244</v>
      </c>
      <c r="D13" s="33">
        <f>+D18+D24+D27+D28</f>
        <v>57421</v>
      </c>
      <c r="E13" s="152">
        <v>1</v>
      </c>
      <c r="F13" s="33">
        <f>+F18+F24+F26+F28</f>
        <v>43074</v>
      </c>
      <c r="G13" s="34">
        <f>F13/D13</f>
        <v>0.75014367565873108</v>
      </c>
      <c r="H13" s="33">
        <f>+H18+H24+H27+H28</f>
        <v>59759.965000000004</v>
      </c>
      <c r="I13" s="251">
        <f>+H13/F13-1</f>
        <v>0.38737904536379264</v>
      </c>
      <c r="J13"/>
      <c r="K13" s="231" t="s">
        <v>314</v>
      </c>
      <c r="L13" s="230">
        <v>142920</v>
      </c>
      <c r="M13" s="231" t="s">
        <v>314</v>
      </c>
      <c r="N13" s="230">
        <v>141730</v>
      </c>
      <c r="O13" s="232" t="s">
        <v>314</v>
      </c>
      <c r="P13" s="374">
        <v>141730</v>
      </c>
      <c r="Q13" s="238">
        <f t="shared" si="1"/>
        <v>143</v>
      </c>
      <c r="R13" s="388">
        <f t="shared" si="2"/>
        <v>142</v>
      </c>
      <c r="S13" s="239">
        <f t="shared" si="3"/>
        <v>141.72999999999999</v>
      </c>
      <c r="T13" s="367">
        <f t="shared" si="4"/>
        <v>127</v>
      </c>
      <c r="U13" s="232" t="s">
        <v>314</v>
      </c>
      <c r="V13" s="402" t="s">
        <v>314</v>
      </c>
      <c r="W13" s="402">
        <v>122820</v>
      </c>
      <c r="X13" s="402">
        <v>18910</v>
      </c>
      <c r="Y13" s="402">
        <f t="shared" si="5"/>
        <v>141730</v>
      </c>
      <c r="Z13" s="452">
        <v>107962.82400000001</v>
      </c>
      <c r="AA13" s="453">
        <v>18910</v>
      </c>
      <c r="AB13" s="453">
        <f t="shared" si="0"/>
        <v>126872.82400000001</v>
      </c>
      <c r="AC13" s="59">
        <f t="shared" si="6"/>
        <v>0.89517268044874065</v>
      </c>
      <c r="AD13" s="458" t="s">
        <v>314</v>
      </c>
      <c r="AF13" s="59">
        <f t="shared" si="7"/>
        <v>1</v>
      </c>
      <c r="AG13" s="462">
        <f t="shared" si="8"/>
        <v>0</v>
      </c>
      <c r="AH13" s="146">
        <v>2</v>
      </c>
      <c r="AI13" s="440">
        <f t="shared" si="9"/>
        <v>0</v>
      </c>
      <c r="AJ13" s="440">
        <f t="shared" si="10"/>
        <v>0</v>
      </c>
    </row>
    <row r="14" spans="1:36" x14ac:dyDescent="0.25">
      <c r="B14" s="116" t="s">
        <v>329</v>
      </c>
      <c r="C14" s="21"/>
      <c r="D14" s="21"/>
      <c r="E14" s="64"/>
      <c r="F14" s="21"/>
      <c r="G14" s="2"/>
      <c r="H14" s="21"/>
      <c r="I14" s="130"/>
      <c r="J14"/>
      <c r="K14" s="231" t="s">
        <v>88</v>
      </c>
      <c r="L14" s="230">
        <v>17692490</v>
      </c>
      <c r="M14" s="231" t="s">
        <v>88</v>
      </c>
      <c r="N14" s="230">
        <v>20050800</v>
      </c>
      <c r="O14" s="232" t="s">
        <v>88</v>
      </c>
      <c r="P14" s="374">
        <v>21905031</v>
      </c>
      <c r="Q14" s="238">
        <f t="shared" si="1"/>
        <v>17692</v>
      </c>
      <c r="R14" s="387">
        <f t="shared" si="2"/>
        <v>20051</v>
      </c>
      <c r="S14" s="239">
        <f t="shared" si="3"/>
        <v>21905.030999999999</v>
      </c>
      <c r="T14" s="367">
        <f t="shared" si="4"/>
        <v>16063</v>
      </c>
      <c r="U14" s="232" t="s">
        <v>88</v>
      </c>
      <c r="V14" s="402" t="s">
        <v>88</v>
      </c>
      <c r="W14" s="402">
        <v>353800</v>
      </c>
      <c r="X14" s="402">
        <v>19697000</v>
      </c>
      <c r="Y14" s="402">
        <f t="shared" si="5"/>
        <v>20050800</v>
      </c>
      <c r="Z14" s="452">
        <v>323057.57999999996</v>
      </c>
      <c r="AA14" s="453">
        <v>15740368.9</v>
      </c>
      <c r="AB14" s="453">
        <f t="shared" si="0"/>
        <v>16063426.48</v>
      </c>
      <c r="AC14" s="59">
        <f t="shared" si="6"/>
        <v>0.80113643744887986</v>
      </c>
      <c r="AD14" s="458" t="s">
        <v>88</v>
      </c>
      <c r="AF14" s="59">
        <f t="shared" si="7"/>
        <v>1.0924766592854152</v>
      </c>
      <c r="AG14" s="461">
        <f t="shared" si="8"/>
        <v>1854231</v>
      </c>
      <c r="AH14" s="146">
        <v>1</v>
      </c>
      <c r="AI14" s="440">
        <f t="shared" si="9"/>
        <v>0</v>
      </c>
      <c r="AJ14" s="440">
        <f t="shared" si="10"/>
        <v>1854231</v>
      </c>
    </row>
    <row r="15" spans="1:36" ht="18.75" x14ac:dyDescent="0.3">
      <c r="A15" s="237"/>
      <c r="B15" s="116" t="s">
        <v>328</v>
      </c>
      <c r="C15" s="6">
        <f>+Q14</f>
        <v>17692</v>
      </c>
      <c r="D15" s="6">
        <f>+R14</f>
        <v>20051</v>
      </c>
      <c r="E15" s="205">
        <f>+D15/$D$13</f>
        <v>0.34919280402640152</v>
      </c>
      <c r="F15" s="6">
        <f>+T14</f>
        <v>16063</v>
      </c>
      <c r="G15" s="205">
        <f>+F15/D15</f>
        <v>0.80110717669941645</v>
      </c>
      <c r="H15" s="6">
        <f>+S14</f>
        <v>21905.030999999999</v>
      </c>
      <c r="I15" s="254">
        <f>+H15/F15-1</f>
        <v>0.36369488887505441</v>
      </c>
      <c r="J15"/>
      <c r="K15" s="231" t="s">
        <v>87</v>
      </c>
      <c r="L15" s="230">
        <v>17204354</v>
      </c>
      <c r="M15" s="231" t="s">
        <v>87</v>
      </c>
      <c r="N15" s="230">
        <v>19767210</v>
      </c>
      <c r="O15" s="232" t="s">
        <v>87</v>
      </c>
      <c r="P15" s="374">
        <v>19911681</v>
      </c>
      <c r="Q15" s="238">
        <f t="shared" si="1"/>
        <v>17204</v>
      </c>
      <c r="R15" s="387">
        <f t="shared" si="2"/>
        <v>19767</v>
      </c>
      <c r="S15" s="239">
        <f t="shared" si="3"/>
        <v>19911.681</v>
      </c>
      <c r="T15" s="367">
        <f t="shared" si="4"/>
        <v>17599</v>
      </c>
      <c r="U15" s="232" t="s">
        <v>87</v>
      </c>
      <c r="V15" s="402" t="s">
        <v>87</v>
      </c>
      <c r="W15" s="402">
        <v>333210</v>
      </c>
      <c r="X15" s="402">
        <v>19434000</v>
      </c>
      <c r="Y15" s="402">
        <f t="shared" si="5"/>
        <v>19767210</v>
      </c>
      <c r="Z15" s="452">
        <v>315474.27</v>
      </c>
      <c r="AA15" s="453">
        <v>17283070</v>
      </c>
      <c r="AB15" s="453">
        <f t="shared" si="0"/>
        <v>17598544.27</v>
      </c>
      <c r="AC15" s="59">
        <f t="shared" si="6"/>
        <v>0.89028974093966728</v>
      </c>
      <c r="AD15" s="458" t="s">
        <v>87</v>
      </c>
      <c r="AF15" s="59">
        <f t="shared" si="7"/>
        <v>1.0073086186669742</v>
      </c>
      <c r="AG15" s="461">
        <f t="shared" si="8"/>
        <v>144471</v>
      </c>
      <c r="AH15" s="146">
        <v>1</v>
      </c>
      <c r="AI15" s="440">
        <f t="shared" si="9"/>
        <v>0</v>
      </c>
      <c r="AJ15" s="440">
        <f t="shared" si="10"/>
        <v>144471</v>
      </c>
    </row>
    <row r="16" spans="1:36" ht="16.5" x14ac:dyDescent="0.25">
      <c r="B16" s="116" t="s">
        <v>12</v>
      </c>
      <c r="C16" s="6">
        <f>+Q15</f>
        <v>17204</v>
      </c>
      <c r="D16" s="6">
        <f>+R15</f>
        <v>19767</v>
      </c>
      <c r="E16" s="205">
        <f>+D16/$D$13</f>
        <v>0.34424687831977846</v>
      </c>
      <c r="F16" s="6">
        <f>+T15</f>
        <v>17599</v>
      </c>
      <c r="G16" s="205">
        <f>+F16/D16</f>
        <v>0.89032225426215406</v>
      </c>
      <c r="H16" s="150">
        <f>+S15</f>
        <v>19911.681</v>
      </c>
      <c r="I16" s="254">
        <f t="shared" ref="I16:I17" si="11">+H16/F16-1</f>
        <v>0.13140979601113711</v>
      </c>
      <c r="J16"/>
      <c r="K16" s="231" t="s">
        <v>321</v>
      </c>
      <c r="L16" s="230">
        <v>452070</v>
      </c>
      <c r="M16" s="231" t="s">
        <v>321</v>
      </c>
      <c r="N16" s="230">
        <v>416820</v>
      </c>
      <c r="O16" s="232" t="s">
        <v>321</v>
      </c>
      <c r="P16" s="374">
        <v>432565</v>
      </c>
      <c r="Q16" s="238">
        <f t="shared" si="1"/>
        <v>452</v>
      </c>
      <c r="R16" s="389">
        <f t="shared" si="2"/>
        <v>417</v>
      </c>
      <c r="S16" s="239">
        <f t="shared" si="3"/>
        <v>432.565</v>
      </c>
      <c r="T16" s="367">
        <f t="shared" si="4"/>
        <v>343</v>
      </c>
      <c r="U16" s="232" t="s">
        <v>321</v>
      </c>
      <c r="V16" s="402" t="s">
        <v>321</v>
      </c>
      <c r="W16" s="402">
        <v>192565</v>
      </c>
      <c r="X16" s="402">
        <v>224255</v>
      </c>
      <c r="Y16" s="402">
        <f t="shared" si="5"/>
        <v>416820</v>
      </c>
      <c r="Z16" s="452">
        <v>139431.63399999999</v>
      </c>
      <c r="AA16" s="453">
        <v>204050.53</v>
      </c>
      <c r="AB16" s="453">
        <f t="shared" si="0"/>
        <v>343482.16399999999</v>
      </c>
      <c r="AC16" s="59">
        <f t="shared" si="6"/>
        <v>0.82405394174943614</v>
      </c>
      <c r="AD16" s="458" t="s">
        <v>321</v>
      </c>
      <c r="AE16" s="39"/>
      <c r="AF16" s="59">
        <f t="shared" si="7"/>
        <v>1.0377740991315196</v>
      </c>
      <c r="AG16" s="461">
        <f t="shared" si="8"/>
        <v>15745</v>
      </c>
      <c r="AH16" s="146">
        <v>1</v>
      </c>
      <c r="AI16" s="440">
        <f t="shared" si="9"/>
        <v>0</v>
      </c>
      <c r="AJ16" s="440">
        <f t="shared" si="10"/>
        <v>15745</v>
      </c>
    </row>
    <row r="17" spans="1:36" ht="16.5" x14ac:dyDescent="0.25">
      <c r="B17" s="116" t="s">
        <v>42</v>
      </c>
      <c r="C17" s="6">
        <f>+Q10-L29/1000</f>
        <v>3822</v>
      </c>
      <c r="D17" s="6">
        <f>+R10-N29/1000</f>
        <v>4134</v>
      </c>
      <c r="E17" s="205">
        <f t="shared" ref="E17" si="12">+D17/$D$13</f>
        <v>7.1994566447815253E-2</v>
      </c>
      <c r="F17" s="6">
        <f>+T10</f>
        <v>3458</v>
      </c>
      <c r="G17" s="205">
        <f>+F17/D17</f>
        <v>0.83647798742138368</v>
      </c>
      <c r="H17" s="6">
        <f>+S10-P29/1000</f>
        <v>4221.8950000000004</v>
      </c>
      <c r="I17" s="254">
        <f t="shared" si="11"/>
        <v>0.22090659340659347</v>
      </c>
      <c r="J17"/>
      <c r="K17" s="231" t="s">
        <v>90</v>
      </c>
      <c r="L17" s="230">
        <v>811255</v>
      </c>
      <c r="M17" s="231" t="s">
        <v>90</v>
      </c>
      <c r="N17" s="230">
        <v>885280</v>
      </c>
      <c r="O17" s="232" t="s">
        <v>90</v>
      </c>
      <c r="P17" s="374">
        <v>653475</v>
      </c>
      <c r="Q17" s="238">
        <f t="shared" si="1"/>
        <v>811</v>
      </c>
      <c r="R17" s="389">
        <f t="shared" si="2"/>
        <v>885</v>
      </c>
      <c r="S17" s="239">
        <f t="shared" si="3"/>
        <v>653.47500000000002</v>
      </c>
      <c r="T17" s="367">
        <f t="shared" si="4"/>
        <v>700</v>
      </c>
      <c r="U17" s="232" t="s">
        <v>90</v>
      </c>
      <c r="V17" s="402" t="s">
        <v>90</v>
      </c>
      <c r="W17" s="402">
        <v>327475</v>
      </c>
      <c r="X17" s="402">
        <v>557805</v>
      </c>
      <c r="Y17" s="402">
        <f t="shared" si="5"/>
        <v>885280</v>
      </c>
      <c r="Z17" s="452">
        <v>195249.50049999997</v>
      </c>
      <c r="AA17" s="453">
        <v>504557.5</v>
      </c>
      <c r="AB17" s="453">
        <f t="shared" si="0"/>
        <v>699807.00049999997</v>
      </c>
      <c r="AC17" s="59">
        <f t="shared" si="6"/>
        <v>0.79049227419573465</v>
      </c>
      <c r="AD17" s="458" t="s">
        <v>90</v>
      </c>
      <c r="AF17" s="59">
        <f t="shared" si="7"/>
        <v>0.73815628953551415</v>
      </c>
      <c r="AG17" s="461">
        <f t="shared" si="8"/>
        <v>-231805</v>
      </c>
      <c r="AH17" s="146">
        <v>1</v>
      </c>
      <c r="AI17" s="440">
        <f t="shared" si="9"/>
        <v>0</v>
      </c>
      <c r="AJ17" s="440">
        <f t="shared" si="10"/>
        <v>-231805</v>
      </c>
    </row>
    <row r="18" spans="1:36" ht="16.5" x14ac:dyDescent="0.25">
      <c r="B18" s="128" t="s">
        <v>13</v>
      </c>
      <c r="C18" s="30">
        <f>SUM(C15:C17)</f>
        <v>38718</v>
      </c>
      <c r="D18" s="30">
        <f>SUM(D15:D17)</f>
        <v>43952</v>
      </c>
      <c r="E18" s="151">
        <f>D18/D13</f>
        <v>0.76543424879399524</v>
      </c>
      <c r="F18" s="30">
        <f>SUM(F15:F17)</f>
        <v>37120</v>
      </c>
      <c r="G18" s="31">
        <f>F18/D18</f>
        <v>0.84455769930833635</v>
      </c>
      <c r="H18" s="30">
        <f>SUM(H15:H17)</f>
        <v>46038.607000000004</v>
      </c>
      <c r="I18" s="120">
        <f>+H18/F18-1</f>
        <v>0.24026419719827596</v>
      </c>
      <c r="J18"/>
      <c r="K18" s="231" t="s">
        <v>315</v>
      </c>
      <c r="L18" s="230">
        <v>2514185</v>
      </c>
      <c r="M18" s="231" t="s">
        <v>315</v>
      </c>
      <c r="N18" s="230">
        <v>2870385</v>
      </c>
      <c r="O18" s="232" t="s">
        <v>315</v>
      </c>
      <c r="P18" s="374">
        <v>2926340</v>
      </c>
      <c r="Q18" s="238">
        <f t="shared" si="1"/>
        <v>2514</v>
      </c>
      <c r="R18" s="388">
        <f t="shared" si="2"/>
        <v>2870</v>
      </c>
      <c r="S18" s="239">
        <f t="shared" si="3"/>
        <v>2926.34</v>
      </c>
      <c r="T18" s="367">
        <f t="shared" si="4"/>
        <v>587</v>
      </c>
      <c r="U18" s="232" t="s">
        <v>315</v>
      </c>
      <c r="V18" s="402" t="s">
        <v>315</v>
      </c>
      <c r="W18" s="402">
        <v>2566285</v>
      </c>
      <c r="X18" s="402">
        <v>304100</v>
      </c>
      <c r="Y18" s="402">
        <f t="shared" si="5"/>
        <v>2870385</v>
      </c>
      <c r="Z18" s="452">
        <v>237514.39399999997</v>
      </c>
      <c r="AA18" s="453">
        <v>349139.5</v>
      </c>
      <c r="AB18" s="453">
        <f t="shared" si="0"/>
        <v>586653.89399999997</v>
      </c>
      <c r="AC18" s="59">
        <f t="shared" si="6"/>
        <v>0.20438160525504417</v>
      </c>
      <c r="AD18" s="458" t="s">
        <v>315</v>
      </c>
      <c r="AF18" s="59">
        <f t="shared" si="7"/>
        <v>1.0194939006439903</v>
      </c>
      <c r="AG18" s="462">
        <f t="shared" si="8"/>
        <v>55955</v>
      </c>
      <c r="AH18" s="146">
        <v>2</v>
      </c>
      <c r="AI18" s="440">
        <f t="shared" si="9"/>
        <v>55955</v>
      </c>
      <c r="AJ18" s="440">
        <f t="shared" si="10"/>
        <v>0</v>
      </c>
    </row>
    <row r="19" spans="1:36" x14ac:dyDescent="0.25">
      <c r="B19" s="116" t="s">
        <v>14</v>
      </c>
      <c r="C19" s="21"/>
      <c r="D19" s="21"/>
      <c r="E19" s="64"/>
      <c r="F19" s="21"/>
      <c r="G19" s="2"/>
      <c r="H19" s="21"/>
      <c r="I19" s="130"/>
      <c r="J19"/>
      <c r="K19" s="231" t="s">
        <v>316</v>
      </c>
      <c r="L19" s="230">
        <v>913800</v>
      </c>
      <c r="M19" s="231" t="s">
        <v>316</v>
      </c>
      <c r="N19" s="230">
        <f>707230+165800</f>
        <v>873030</v>
      </c>
      <c r="O19" s="232" t="s">
        <v>316</v>
      </c>
      <c r="P19" s="374">
        <v>859030</v>
      </c>
      <c r="Q19" s="238">
        <f t="shared" si="1"/>
        <v>914</v>
      </c>
      <c r="R19" s="388">
        <f t="shared" si="2"/>
        <v>873</v>
      </c>
      <c r="S19" s="239">
        <f t="shared" si="3"/>
        <v>859.03</v>
      </c>
      <c r="T19" s="367">
        <f t="shared" si="4"/>
        <v>465</v>
      </c>
      <c r="U19" s="232" t="s">
        <v>316</v>
      </c>
      <c r="V19" s="402" t="s">
        <v>316</v>
      </c>
      <c r="W19" s="402">
        <v>167530</v>
      </c>
      <c r="X19" s="402">
        <v>539700</v>
      </c>
      <c r="Y19" s="402">
        <f t="shared" si="5"/>
        <v>707230</v>
      </c>
      <c r="Z19" s="452">
        <v>136366.23533333332</v>
      </c>
      <c r="AA19" s="453">
        <v>329038.81</v>
      </c>
      <c r="AB19" s="453">
        <f t="shared" si="0"/>
        <v>465405.04533333331</v>
      </c>
      <c r="AC19" s="59">
        <f t="shared" si="6"/>
        <v>0.6580674537750566</v>
      </c>
      <c r="AD19" s="458" t="s">
        <v>316</v>
      </c>
      <c r="AF19" s="59">
        <f t="shared" si="7"/>
        <v>0.98396389585695798</v>
      </c>
      <c r="AG19" s="462">
        <f t="shared" si="8"/>
        <v>-14000</v>
      </c>
      <c r="AH19" s="146">
        <v>2</v>
      </c>
      <c r="AI19" s="440">
        <f t="shared" si="9"/>
        <v>-14000</v>
      </c>
      <c r="AJ19" s="440">
        <f t="shared" si="10"/>
        <v>0</v>
      </c>
    </row>
    <row r="20" spans="1:36" ht="18" customHeight="1" x14ac:dyDescent="0.25">
      <c r="B20" s="116" t="s">
        <v>15</v>
      </c>
      <c r="C20" s="6">
        <f>+Q17</f>
        <v>811</v>
      </c>
      <c r="D20" s="6">
        <f>+R17</f>
        <v>885</v>
      </c>
      <c r="E20" s="205">
        <f t="shared" ref="E20:E21" si="13">+D20/$D$13</f>
        <v>1.5412479754793542E-2</v>
      </c>
      <c r="F20" s="6">
        <f>+T17</f>
        <v>700</v>
      </c>
      <c r="G20" s="205">
        <f>F20/D20</f>
        <v>0.79096045197740117</v>
      </c>
      <c r="H20" s="6">
        <f>+S17</f>
        <v>653.47500000000002</v>
      </c>
      <c r="I20" s="254">
        <f>+H20/F20-1</f>
        <v>-6.6464285714285642E-2</v>
      </c>
      <c r="J20"/>
      <c r="K20" s="231" t="s">
        <v>222</v>
      </c>
      <c r="L20" s="230">
        <v>204820</v>
      </c>
      <c r="M20" s="231" t="s">
        <v>222</v>
      </c>
      <c r="N20" s="230">
        <v>203250</v>
      </c>
      <c r="O20" s="232" t="s">
        <v>222</v>
      </c>
      <c r="P20" s="374">
        <v>203250</v>
      </c>
      <c r="Q20" s="238">
        <f t="shared" si="1"/>
        <v>205</v>
      </c>
      <c r="R20" s="388">
        <f t="shared" si="2"/>
        <v>203</v>
      </c>
      <c r="S20" s="239">
        <f t="shared" si="3"/>
        <v>203.25</v>
      </c>
      <c r="T20" s="367">
        <f t="shared" si="4"/>
        <v>144</v>
      </c>
      <c r="U20" s="232" t="s">
        <v>222</v>
      </c>
      <c r="V20" s="402" t="s">
        <v>222</v>
      </c>
      <c r="W20" s="402">
        <v>203250</v>
      </c>
      <c r="X20" s="402"/>
      <c r="Y20" s="402">
        <f t="shared" si="5"/>
        <v>203250</v>
      </c>
      <c r="Z20" s="452">
        <v>144306.7715</v>
      </c>
      <c r="AA20" s="453">
        <v>0</v>
      </c>
      <c r="AB20" s="453">
        <f t="shared" si="0"/>
        <v>144306.7715</v>
      </c>
      <c r="AC20" s="59">
        <f t="shared" si="6"/>
        <v>0.70999641574415751</v>
      </c>
      <c r="AD20" s="458" t="s">
        <v>222</v>
      </c>
      <c r="AF20" s="59">
        <f t="shared" si="7"/>
        <v>1</v>
      </c>
      <c r="AG20" s="462">
        <f t="shared" si="8"/>
        <v>0</v>
      </c>
      <c r="AH20" s="146">
        <v>2</v>
      </c>
      <c r="AI20" s="440">
        <f t="shared" si="9"/>
        <v>0</v>
      </c>
      <c r="AJ20" s="440">
        <f t="shared" si="10"/>
        <v>0</v>
      </c>
    </row>
    <row r="21" spans="1:36" ht="16.5" x14ac:dyDescent="0.25">
      <c r="A21" s="236"/>
      <c r="B21" s="116" t="s">
        <v>16</v>
      </c>
      <c r="C21" s="6">
        <f>+Q16</f>
        <v>452</v>
      </c>
      <c r="D21" s="6">
        <f>+R16</f>
        <v>417</v>
      </c>
      <c r="E21" s="205">
        <f t="shared" si="13"/>
        <v>7.2621514776823812E-3</v>
      </c>
      <c r="F21" s="6">
        <f>+T16</f>
        <v>343</v>
      </c>
      <c r="G21" s="205">
        <f>F21/D21</f>
        <v>0.82254196642685851</v>
      </c>
      <c r="H21" s="6">
        <f>+S16</f>
        <v>432.565</v>
      </c>
      <c r="I21" s="254">
        <f>+H21/F21-1</f>
        <v>0.2611224489795918</v>
      </c>
      <c r="J21"/>
      <c r="K21" s="372" t="s">
        <v>398</v>
      </c>
      <c r="L21" s="230">
        <v>91815</v>
      </c>
      <c r="M21" s="372" t="s">
        <v>398</v>
      </c>
      <c r="N21" s="230">
        <v>120545</v>
      </c>
      <c r="O21" s="372" t="s">
        <v>398</v>
      </c>
      <c r="P21" s="374">
        <v>102545</v>
      </c>
      <c r="Q21" s="238">
        <f t="shared" si="1"/>
        <v>92</v>
      </c>
      <c r="R21" s="389">
        <f t="shared" si="2"/>
        <v>121</v>
      </c>
      <c r="S21" s="239">
        <f t="shared" si="3"/>
        <v>102.545</v>
      </c>
      <c r="T21" s="367">
        <f t="shared" si="4"/>
        <v>104</v>
      </c>
      <c r="U21" s="372" t="s">
        <v>398</v>
      </c>
      <c r="V21" s="403" t="s">
        <v>398</v>
      </c>
      <c r="W21" s="403">
        <v>102545</v>
      </c>
      <c r="X21" s="403">
        <v>18000</v>
      </c>
      <c r="Y21" s="402">
        <f t="shared" si="5"/>
        <v>120545</v>
      </c>
      <c r="Z21" s="452">
        <v>85714.506499999989</v>
      </c>
      <c r="AA21" s="453">
        <v>18010</v>
      </c>
      <c r="AB21" s="453">
        <f t="shared" si="0"/>
        <v>103724.50649999999</v>
      </c>
      <c r="AC21" s="59">
        <f t="shared" si="6"/>
        <v>0.86046295159483999</v>
      </c>
      <c r="AD21" s="458" t="s">
        <v>398</v>
      </c>
      <c r="AF21" s="59">
        <f t="shared" si="7"/>
        <v>0.85067816997801649</v>
      </c>
      <c r="AG21" s="461">
        <f t="shared" si="8"/>
        <v>-18000</v>
      </c>
      <c r="AH21" s="146">
        <v>1</v>
      </c>
      <c r="AI21" s="440">
        <f t="shared" si="9"/>
        <v>0</v>
      </c>
      <c r="AJ21" s="440">
        <f t="shared" si="10"/>
        <v>-18000</v>
      </c>
    </row>
    <row r="22" spans="1:36" ht="16.5" x14ac:dyDescent="0.25">
      <c r="B22" s="116" t="s">
        <v>83</v>
      </c>
      <c r="C22" s="6">
        <f>+Q24</f>
        <v>179</v>
      </c>
      <c r="D22" s="6">
        <f>+R24</f>
        <v>231</v>
      </c>
      <c r="E22" s="205">
        <f>+D22/$D$13</f>
        <v>4.0229184444715346E-3</v>
      </c>
      <c r="F22" s="6">
        <f>+T24</f>
        <v>179</v>
      </c>
      <c r="G22" s="205">
        <f>F22/D22</f>
        <v>0.77489177489177485</v>
      </c>
      <c r="H22" s="150">
        <f>+S24</f>
        <v>236.58</v>
      </c>
      <c r="I22" s="254">
        <f>+H22/F22-1</f>
        <v>0.32167597765363132</v>
      </c>
      <c r="J22"/>
      <c r="K22" s="372" t="s">
        <v>317</v>
      </c>
      <c r="L22" s="371">
        <v>1033475</v>
      </c>
      <c r="M22" s="372" t="s">
        <v>317</v>
      </c>
      <c r="N22" s="371">
        <v>1154220</v>
      </c>
      <c r="O22" s="373" t="s">
        <v>317</v>
      </c>
      <c r="P22" s="374">
        <v>1269703</v>
      </c>
      <c r="Q22" s="238">
        <f t="shared" si="1"/>
        <v>1033</v>
      </c>
      <c r="R22" s="388">
        <f t="shared" si="2"/>
        <v>1154</v>
      </c>
      <c r="S22" s="239">
        <f t="shared" si="3"/>
        <v>1269.703</v>
      </c>
      <c r="T22" s="367">
        <f t="shared" si="4"/>
        <v>1109</v>
      </c>
      <c r="U22" s="373" t="s">
        <v>317</v>
      </c>
      <c r="V22" s="403" t="s">
        <v>317</v>
      </c>
      <c r="W22" s="403">
        <v>323155</v>
      </c>
      <c r="X22" s="403">
        <v>831065</v>
      </c>
      <c r="Y22" s="402">
        <f t="shared" si="5"/>
        <v>1154220</v>
      </c>
      <c r="Z22" s="452">
        <v>278095.05200000003</v>
      </c>
      <c r="AA22" s="453">
        <v>831065</v>
      </c>
      <c r="AB22" s="453">
        <f t="shared" si="0"/>
        <v>1109160.0520000001</v>
      </c>
      <c r="AC22" s="59">
        <f t="shared" si="6"/>
        <v>0.96096069380187499</v>
      </c>
      <c r="AD22" s="458" t="s">
        <v>317</v>
      </c>
      <c r="AF22" s="59">
        <f t="shared" si="7"/>
        <v>1.1000528495434145</v>
      </c>
      <c r="AG22" s="462">
        <f t="shared" si="8"/>
        <v>115483</v>
      </c>
      <c r="AH22" s="146">
        <v>2</v>
      </c>
      <c r="AI22" s="440">
        <f t="shared" si="9"/>
        <v>115483</v>
      </c>
      <c r="AJ22" s="440">
        <f t="shared" si="10"/>
        <v>0</v>
      </c>
    </row>
    <row r="23" spans="1:36" ht="16.5" x14ac:dyDescent="0.25">
      <c r="B23" s="116" t="s">
        <v>426</v>
      </c>
      <c r="C23" s="6">
        <f>+Q21</f>
        <v>92</v>
      </c>
      <c r="D23" s="6">
        <f>+R21</f>
        <v>121</v>
      </c>
      <c r="E23" s="205">
        <f>+D23/$D$13</f>
        <v>2.107242994723185E-3</v>
      </c>
      <c r="F23" s="6">
        <f>+T21</f>
        <v>104</v>
      </c>
      <c r="G23" s="205">
        <f>F23/D23</f>
        <v>0.85950413223140498</v>
      </c>
      <c r="H23" s="150">
        <f>+S21</f>
        <v>102.545</v>
      </c>
      <c r="I23" s="254">
        <f>+H23/F23-1</f>
        <v>-1.3990384615384599E-2</v>
      </c>
      <c r="J23"/>
      <c r="K23" s="372" t="s">
        <v>449</v>
      </c>
      <c r="L23" s="371"/>
      <c r="M23" s="372" t="s">
        <v>449</v>
      </c>
      <c r="N23" s="371">
        <v>103720</v>
      </c>
      <c r="O23" s="372" t="s">
        <v>449</v>
      </c>
      <c r="P23" s="374">
        <v>110300</v>
      </c>
      <c r="Q23" s="238">
        <f t="shared" si="1"/>
        <v>0</v>
      </c>
      <c r="R23" s="388">
        <f t="shared" si="2"/>
        <v>104</v>
      </c>
      <c r="S23" s="239">
        <f t="shared" si="3"/>
        <v>110.3</v>
      </c>
      <c r="T23" s="367">
        <f t="shared" si="4"/>
        <v>83</v>
      </c>
      <c r="U23" s="372" t="s">
        <v>449</v>
      </c>
      <c r="V23" s="372" t="s">
        <v>449</v>
      </c>
      <c r="W23" s="403">
        <v>67220</v>
      </c>
      <c r="X23" s="403">
        <v>36500</v>
      </c>
      <c r="Y23" s="402">
        <f t="shared" si="5"/>
        <v>103720</v>
      </c>
      <c r="Z23" s="452">
        <v>46198.244999999995</v>
      </c>
      <c r="AA23" s="453">
        <v>36500.270000000004</v>
      </c>
      <c r="AB23" s="453">
        <f t="shared" si="0"/>
        <v>82698.514999999999</v>
      </c>
      <c r="AC23" s="59">
        <f t="shared" si="6"/>
        <v>0.79732467219436942</v>
      </c>
      <c r="AD23" s="458" t="s">
        <v>449</v>
      </c>
      <c r="AF23" s="59">
        <f t="shared" si="7"/>
        <v>1.0634400308522947</v>
      </c>
      <c r="AG23" s="462">
        <f t="shared" si="8"/>
        <v>6580</v>
      </c>
      <c r="AH23" s="146">
        <v>2</v>
      </c>
      <c r="AI23" s="440">
        <f t="shared" si="9"/>
        <v>6580</v>
      </c>
      <c r="AJ23" s="440">
        <f t="shared" si="10"/>
        <v>0</v>
      </c>
    </row>
    <row r="24" spans="1:36" ht="16.5" x14ac:dyDescent="0.25">
      <c r="B24" s="128" t="s">
        <v>17</v>
      </c>
      <c r="C24" s="30">
        <f>+C22+C21+C20+C23</f>
        <v>1534</v>
      </c>
      <c r="D24" s="30">
        <f>+D22+D21+D20+D23</f>
        <v>1654</v>
      </c>
      <c r="E24" s="153">
        <f>D24/D13</f>
        <v>2.8804792671670642E-2</v>
      </c>
      <c r="F24" s="30">
        <f>+F21+F20+F22+F23</f>
        <v>1326</v>
      </c>
      <c r="G24" s="31">
        <f>F24/D24</f>
        <v>0.80169286577992749</v>
      </c>
      <c r="H24" s="202">
        <f>+H21+H20+H22+H23</f>
        <v>1425.165</v>
      </c>
      <c r="I24" s="120">
        <f>+H24/F24-1</f>
        <v>7.4785067873303079E-2</v>
      </c>
      <c r="J24"/>
      <c r="K24" s="372" t="s">
        <v>318</v>
      </c>
      <c r="L24" s="371">
        <v>178620</v>
      </c>
      <c r="M24" s="372" t="s">
        <v>318</v>
      </c>
      <c r="N24" s="371">
        <v>230580</v>
      </c>
      <c r="O24" s="373" t="s">
        <v>318</v>
      </c>
      <c r="P24" s="374">
        <v>236580</v>
      </c>
      <c r="Q24" s="238">
        <f t="shared" si="1"/>
        <v>179</v>
      </c>
      <c r="R24" s="389">
        <f t="shared" si="2"/>
        <v>231</v>
      </c>
      <c r="S24" s="239">
        <f t="shared" si="3"/>
        <v>236.58</v>
      </c>
      <c r="T24" s="367">
        <f t="shared" si="4"/>
        <v>179</v>
      </c>
      <c r="U24" s="373" t="s">
        <v>318</v>
      </c>
      <c r="V24" s="403" t="s">
        <v>318</v>
      </c>
      <c r="W24" s="403">
        <v>203080</v>
      </c>
      <c r="X24" s="403">
        <v>27500</v>
      </c>
      <c r="Y24" s="402">
        <f t="shared" si="5"/>
        <v>230580</v>
      </c>
      <c r="Z24" s="452">
        <v>165229.34649999999</v>
      </c>
      <c r="AA24" s="453">
        <v>14162.4</v>
      </c>
      <c r="AB24" s="453">
        <f t="shared" si="0"/>
        <v>179391.74649999998</v>
      </c>
      <c r="AC24" s="59">
        <f t="shared" si="6"/>
        <v>0.7780021966345736</v>
      </c>
      <c r="AD24" s="458" t="s">
        <v>318</v>
      </c>
      <c r="AF24" s="59">
        <f t="shared" si="7"/>
        <v>1.0260213374967473</v>
      </c>
      <c r="AG24" s="461">
        <f t="shared" si="8"/>
        <v>6000</v>
      </c>
      <c r="AH24" s="146">
        <v>1</v>
      </c>
      <c r="AI24" s="440">
        <f t="shared" si="9"/>
        <v>0</v>
      </c>
      <c r="AJ24" s="440">
        <f t="shared" si="10"/>
        <v>6000</v>
      </c>
    </row>
    <row r="25" spans="1:36" x14ac:dyDescent="0.25">
      <c r="B25" s="116" t="s">
        <v>18</v>
      </c>
      <c r="C25" s="21"/>
      <c r="D25" s="21"/>
      <c r="E25" s="64"/>
      <c r="F25" s="21"/>
      <c r="G25" s="21"/>
      <c r="H25" s="21"/>
      <c r="I25" s="130"/>
      <c r="J25"/>
      <c r="K25" s="372" t="s">
        <v>319</v>
      </c>
      <c r="L25" s="371">
        <v>275950</v>
      </c>
      <c r="M25" s="372" t="s">
        <v>319</v>
      </c>
      <c r="N25" s="371">
        <v>171150</v>
      </c>
      <c r="O25" s="373" t="s">
        <v>319</v>
      </c>
      <c r="P25" s="374">
        <v>319360</v>
      </c>
      <c r="Q25" s="238">
        <f t="shared" si="1"/>
        <v>276</v>
      </c>
      <c r="R25" s="388">
        <f t="shared" si="2"/>
        <v>171</v>
      </c>
      <c r="S25" s="239">
        <f t="shared" si="3"/>
        <v>319.36</v>
      </c>
      <c r="T25" s="367">
        <f t="shared" si="4"/>
        <v>141</v>
      </c>
      <c r="U25" s="373" t="s">
        <v>319</v>
      </c>
      <c r="V25" s="403" t="s">
        <v>319</v>
      </c>
      <c r="W25" s="403">
        <v>129360</v>
      </c>
      <c r="X25" s="403">
        <v>41790</v>
      </c>
      <c r="Y25" s="402">
        <f t="shared" si="5"/>
        <v>171150</v>
      </c>
      <c r="Z25" s="452">
        <v>104373.614</v>
      </c>
      <c r="AA25" s="453">
        <v>37051.19</v>
      </c>
      <c r="AB25" s="453">
        <f t="shared" si="0"/>
        <v>141424.804</v>
      </c>
      <c r="AC25" s="59">
        <f t="shared" si="6"/>
        <v>0.82632079462459829</v>
      </c>
      <c r="AD25" s="458" t="s">
        <v>319</v>
      </c>
      <c r="AF25" s="59">
        <f t="shared" si="7"/>
        <v>1.8659655273152205</v>
      </c>
      <c r="AG25" s="462">
        <f t="shared" si="8"/>
        <v>148210</v>
      </c>
      <c r="AH25" s="146">
        <v>2</v>
      </c>
      <c r="AI25" s="440">
        <f t="shared" si="9"/>
        <v>148210</v>
      </c>
      <c r="AJ25" s="440">
        <f t="shared" si="10"/>
        <v>0</v>
      </c>
    </row>
    <row r="26" spans="1:36" ht="16.899999999999999" customHeight="1" thickBot="1" x14ac:dyDescent="0.3">
      <c r="B26" s="116" t="s">
        <v>19</v>
      </c>
      <c r="C26" s="12">
        <f>+Q7+Q8+Q9+Q11+Q12+Q13+Q18+Q19+Q20+Q22+Q25+Q26-(L30/1000)</f>
        <v>7492</v>
      </c>
      <c r="D26" s="12">
        <f>+R7+R8+R9+R11+R12+R13+R18+R19+R20+R22+R25+R26+R23</f>
        <v>7915</v>
      </c>
      <c r="E26" s="205">
        <f t="shared" ref="E26" si="14">+D26/$D$13</f>
        <v>0.13784155622507446</v>
      </c>
      <c r="F26" s="12">
        <f>+T7+T8+T9+T11+T12+T13+T18+T19+T20+T22+T25+T26+T23</f>
        <v>4628</v>
      </c>
      <c r="G26" s="205">
        <f>F26/D26</f>
        <v>0.58471257106759322</v>
      </c>
      <c r="H26" s="12">
        <f>+S7+S8+S9+S11+S12+S13+S18+S19+S20+S22+S25+S26+S23</f>
        <v>8396.1929999999993</v>
      </c>
      <c r="I26" s="254">
        <f>+H26/F26-1</f>
        <v>0.81421629213483127</v>
      </c>
      <c r="J26"/>
      <c r="K26" s="372" t="s">
        <v>320</v>
      </c>
      <c r="L26" s="371">
        <v>892630</v>
      </c>
      <c r="M26" s="372" t="s">
        <v>320</v>
      </c>
      <c r="N26" s="371">
        <v>765360</v>
      </c>
      <c r="O26" s="373" t="s">
        <v>320</v>
      </c>
      <c r="P26" s="374">
        <v>708520</v>
      </c>
      <c r="Q26" s="238">
        <f t="shared" si="1"/>
        <v>893</v>
      </c>
      <c r="R26" s="388">
        <f t="shared" si="2"/>
        <v>765</v>
      </c>
      <c r="S26" s="239">
        <f t="shared" si="3"/>
        <v>708.52</v>
      </c>
      <c r="T26" s="367">
        <f t="shared" si="4"/>
        <v>653</v>
      </c>
      <c r="U26" s="373" t="s">
        <v>320</v>
      </c>
      <c r="V26" s="403" t="s">
        <v>320</v>
      </c>
      <c r="W26" s="403">
        <v>234910</v>
      </c>
      <c r="X26" s="403">
        <v>530450</v>
      </c>
      <c r="Y26" s="402">
        <f t="shared" si="5"/>
        <v>765360</v>
      </c>
      <c r="Z26" s="452">
        <v>184990.53200000001</v>
      </c>
      <c r="AA26" s="453">
        <v>468265.07</v>
      </c>
      <c r="AB26" s="453">
        <f t="shared" si="0"/>
        <v>653255.60199999996</v>
      </c>
      <c r="AC26" s="59">
        <f t="shared" si="6"/>
        <v>0.8535272316295599</v>
      </c>
      <c r="AD26" s="458" t="s">
        <v>320</v>
      </c>
      <c r="AF26" s="59">
        <f t="shared" si="7"/>
        <v>0.92573429497230064</v>
      </c>
      <c r="AG26" s="462">
        <f t="shared" si="8"/>
        <v>-56840</v>
      </c>
      <c r="AH26" s="146">
        <v>2</v>
      </c>
      <c r="AI26" s="440">
        <f t="shared" si="9"/>
        <v>-56840</v>
      </c>
      <c r="AJ26" s="440">
        <f t="shared" si="10"/>
        <v>0</v>
      </c>
    </row>
    <row r="27" spans="1:36" ht="17.25" thickBot="1" x14ac:dyDescent="0.3">
      <c r="B27" s="128" t="s">
        <v>20</v>
      </c>
      <c r="C27" s="30">
        <f>+C26</f>
        <v>7492</v>
      </c>
      <c r="D27" s="30">
        <f>+D26</f>
        <v>7915</v>
      </c>
      <c r="E27" s="120">
        <f>D27/D13</f>
        <v>0.13784155622507446</v>
      </c>
      <c r="F27" s="30">
        <f>+F26</f>
        <v>4628</v>
      </c>
      <c r="G27" s="31">
        <f>F27/D27</f>
        <v>0.58471257106759322</v>
      </c>
      <c r="H27" s="30">
        <f>+H26</f>
        <v>8396.1929999999993</v>
      </c>
      <c r="I27" s="120">
        <f>+H27/F27-1</f>
        <v>0.81421629213483127</v>
      </c>
      <c r="J27"/>
      <c r="K27" s="227"/>
      <c r="L27" s="233"/>
      <c r="M27" s="233"/>
      <c r="N27" s="233"/>
      <c r="O27" s="233"/>
      <c r="P27" s="233"/>
      <c r="Q27" s="227"/>
      <c r="R27" s="229"/>
      <c r="S27" s="386"/>
      <c r="T27" s="386">
        <f>SUM(T7:T26)</f>
        <v>43074</v>
      </c>
      <c r="U27" s="272"/>
      <c r="V27" s="434" t="s">
        <v>45</v>
      </c>
      <c r="W27" s="435">
        <f t="shared" ref="W27:AB27" si="15">SUM(W7:W26)</f>
        <v>6797185</v>
      </c>
      <c r="X27" s="435">
        <f t="shared" si="15"/>
        <v>50457910</v>
      </c>
      <c r="Y27" s="435">
        <f t="shared" si="15"/>
        <v>57255095</v>
      </c>
      <c r="Z27" s="435">
        <f t="shared" si="15"/>
        <v>3573266.4135000003</v>
      </c>
      <c r="AA27" s="435">
        <f t="shared" si="15"/>
        <v>39501863.500000007</v>
      </c>
      <c r="AB27" s="435">
        <f t="shared" si="15"/>
        <v>43075129.913499989</v>
      </c>
      <c r="AC27" s="436">
        <f t="shared" si="6"/>
        <v>0.75233706124319566</v>
      </c>
      <c r="AI27" s="426">
        <f>SUM(AI7:AI26)</f>
        <v>480543</v>
      </c>
      <c r="AJ27" s="426">
        <f>SUM(AJ7:AJ26)</f>
        <v>1858527</v>
      </c>
    </row>
    <row r="28" spans="1:36" ht="16.899999999999999" customHeight="1" thickBot="1" x14ac:dyDescent="0.35">
      <c r="B28" s="137" t="s">
        <v>322</v>
      </c>
      <c r="C28" s="282">
        <v>3500</v>
      </c>
      <c r="D28" s="282">
        <f>+N31/1000</f>
        <v>3900</v>
      </c>
      <c r="E28" s="260">
        <f>+D28/D13</f>
        <v>6.7919402309259677E-2</v>
      </c>
      <c r="F28" s="282">
        <v>0</v>
      </c>
      <c r="G28" s="260">
        <v>0</v>
      </c>
      <c r="H28" s="282">
        <f>+P31/1000</f>
        <v>3900</v>
      </c>
      <c r="I28" s="120">
        <f>+H28/H13</f>
        <v>6.5261082398558962E-2</v>
      </c>
      <c r="J28"/>
      <c r="K28" s="429" t="s">
        <v>430</v>
      </c>
      <c r="L28" s="454">
        <f>+K6</f>
        <v>2021</v>
      </c>
      <c r="M28" s="455"/>
      <c r="N28" s="454">
        <f>+M6</f>
        <v>2022</v>
      </c>
      <c r="O28" s="455"/>
      <c r="P28" s="454">
        <f>+O6</f>
        <v>2023</v>
      </c>
      <c r="X28" s="398"/>
      <c r="Y28" s="398"/>
    </row>
    <row r="29" spans="1:36" x14ac:dyDescent="0.25">
      <c r="B29" s="20"/>
      <c r="C29" s="70"/>
      <c r="D29" s="70"/>
      <c r="E29" s="20"/>
      <c r="F29" s="20"/>
      <c r="G29" s="20"/>
      <c r="H29" s="20"/>
      <c r="I29" s="20"/>
      <c r="J29"/>
      <c r="K29" s="431" t="s">
        <v>305</v>
      </c>
      <c r="L29" s="403">
        <v>3400000</v>
      </c>
      <c r="M29" s="431" t="s">
        <v>305</v>
      </c>
      <c r="N29" s="403">
        <f>3400000+500000</f>
        <v>3900000</v>
      </c>
      <c r="O29" s="431" t="s">
        <v>305</v>
      </c>
      <c r="P29" s="403">
        <f>3400000+500000</f>
        <v>3900000</v>
      </c>
      <c r="Q29" s="57"/>
      <c r="AA29" s="426"/>
    </row>
    <row r="30" spans="1:36" ht="14.45" customHeight="1" x14ac:dyDescent="0.3">
      <c r="B30" s="20"/>
      <c r="C30" s="70"/>
      <c r="D30" s="70"/>
      <c r="E30" s="20"/>
      <c r="F30" s="20"/>
      <c r="G30" s="58" t="s">
        <v>442</v>
      </c>
      <c r="H30" s="464">
        <f>+H26/H13</f>
        <v>0.14049862646338562</v>
      </c>
      <c r="I30" s="20"/>
      <c r="J30" s="66"/>
      <c r="K30" s="430" t="s">
        <v>431</v>
      </c>
      <c r="L30" s="403">
        <v>100000</v>
      </c>
      <c r="M30" s="430" t="s">
        <v>431</v>
      </c>
      <c r="N30" s="403"/>
      <c r="O30" s="430" t="s">
        <v>431</v>
      </c>
      <c r="P30" s="403"/>
      <c r="AA30" s="446"/>
    </row>
    <row r="31" spans="1:36" ht="14.45" customHeight="1" x14ac:dyDescent="0.3">
      <c r="B31" s="20"/>
      <c r="C31" s="70"/>
      <c r="D31" s="70"/>
      <c r="E31" s="20"/>
      <c r="F31" s="20"/>
      <c r="G31" s="58" t="s">
        <v>443</v>
      </c>
      <c r="H31" s="464">
        <f>+H26/H9</f>
        <v>0.17222606715759675</v>
      </c>
      <c r="I31" s="20"/>
      <c r="J31" s="66"/>
      <c r="K31" s="431" t="s">
        <v>41</v>
      </c>
      <c r="L31" s="431">
        <v>3500000</v>
      </c>
      <c r="M31" s="431" t="s">
        <v>41</v>
      </c>
      <c r="N31" s="431">
        <f>+N30+N29</f>
        <v>3900000</v>
      </c>
      <c r="O31" s="431" t="s">
        <v>41</v>
      </c>
      <c r="P31" s="431">
        <f>+P30+P29</f>
        <v>3900000</v>
      </c>
    </row>
    <row r="32" spans="1:36" ht="14.45" customHeight="1" x14ac:dyDescent="0.25">
      <c r="B32" s="20"/>
      <c r="C32" s="70"/>
      <c r="D32" s="70"/>
      <c r="E32" s="20"/>
      <c r="F32" s="20"/>
      <c r="G32" s="20"/>
      <c r="H32" s="347"/>
      <c r="I32" s="20"/>
      <c r="J32" s="66"/>
      <c r="K32" s="432"/>
      <c r="L32" s="432"/>
      <c r="M32" s="432"/>
      <c r="N32" s="432"/>
      <c r="O32" s="432"/>
      <c r="P32" s="432"/>
    </row>
    <row r="33" spans="2:16" ht="14.45" customHeight="1" x14ac:dyDescent="0.25">
      <c r="B33" s="20"/>
      <c r="C33" s="70"/>
      <c r="D33" s="70"/>
      <c r="E33" s="20"/>
      <c r="F33" s="20"/>
      <c r="G33" s="20"/>
      <c r="H33" s="38"/>
      <c r="I33" s="20"/>
      <c r="J33" s="66"/>
      <c r="K33" s="431" t="s">
        <v>432</v>
      </c>
      <c r="L33" s="433">
        <v>1860365</v>
      </c>
      <c r="M33" s="431" t="s">
        <v>432</v>
      </c>
      <c r="N33" s="433">
        <v>2212035</v>
      </c>
      <c r="O33" s="431" t="s">
        <v>432</v>
      </c>
      <c r="P33" s="433">
        <v>2285162</v>
      </c>
    </row>
    <row r="34" spans="2:16" ht="22.5" x14ac:dyDescent="0.3">
      <c r="B34" s="160"/>
      <c r="C34" s="174"/>
      <c r="D34" s="38"/>
      <c r="H34" s="36"/>
      <c r="J34" s="66"/>
    </row>
    <row r="35" spans="2:16" ht="15.75" x14ac:dyDescent="0.25">
      <c r="B35" t="s">
        <v>294</v>
      </c>
      <c r="C35" s="36"/>
      <c r="D35" s="38"/>
      <c r="H35" s="20"/>
      <c r="K35" s="456" t="s">
        <v>433</v>
      </c>
      <c r="L35" s="456">
        <f>+L5-L33+105500</f>
        <v>49489974</v>
      </c>
      <c r="M35" s="457"/>
      <c r="N35" s="456">
        <f>+N5-N33+105500</f>
        <v>55314360</v>
      </c>
      <c r="O35" s="457"/>
      <c r="P35" s="456"/>
    </row>
    <row r="36" spans="2:16" ht="15" hidden="1" customHeight="1" x14ac:dyDescent="0.3">
      <c r="B36" s="176" t="s">
        <v>283</v>
      </c>
      <c r="C36" s="176" t="s">
        <v>280</v>
      </c>
      <c r="D36" s="177" t="s">
        <v>285</v>
      </c>
      <c r="E36" t="s">
        <v>89</v>
      </c>
      <c r="G36" s="177"/>
      <c r="H36" s="187"/>
      <c r="I36" s="177"/>
      <c r="K36" s="38"/>
      <c r="L36" s="38"/>
      <c r="N36" s="36"/>
      <c r="O36" s="36"/>
      <c r="P36" s="36"/>
    </row>
    <row r="37" spans="2:16" ht="15.75" hidden="1" customHeight="1" x14ac:dyDescent="0.35">
      <c r="B37" s="161" t="s">
        <v>282</v>
      </c>
      <c r="C37" s="172"/>
      <c r="D37" s="181"/>
      <c r="E37" s="181"/>
      <c r="G37" s="175"/>
      <c r="H37" s="175"/>
      <c r="I37" s="175"/>
      <c r="J37" s="177"/>
      <c r="K37" s="38"/>
      <c r="L37" s="38"/>
      <c r="N37" s="36"/>
      <c r="O37" s="36"/>
      <c r="P37" s="36"/>
    </row>
    <row r="38" spans="2:16" ht="20.25" hidden="1" customHeight="1" x14ac:dyDescent="0.25">
      <c r="B38" s="179" t="s">
        <v>88</v>
      </c>
      <c r="C38" s="180">
        <v>13587105</v>
      </c>
      <c r="D38" s="182"/>
      <c r="E38" s="189"/>
      <c r="G38" s="181"/>
      <c r="H38" s="217"/>
      <c r="I38" s="181"/>
      <c r="J38" s="38"/>
      <c r="K38" s="38"/>
      <c r="L38" s="38"/>
      <c r="N38" s="36"/>
      <c r="O38" s="36"/>
      <c r="P38" s="36"/>
    </row>
    <row r="39" spans="2:16" ht="15" hidden="1" customHeight="1" x14ac:dyDescent="0.25">
      <c r="B39" s="171" t="s">
        <v>42</v>
      </c>
      <c r="C39" s="184">
        <f>1347280*0.56</f>
        <v>754476.8</v>
      </c>
      <c r="D39" s="184"/>
      <c r="E39" s="190"/>
      <c r="G39" s="182"/>
      <c r="H39" s="217"/>
      <c r="I39" s="182"/>
      <c r="J39" s="180"/>
      <c r="K39" s="38"/>
      <c r="L39" s="38"/>
      <c r="N39" s="36"/>
      <c r="O39" s="36"/>
      <c r="P39" s="36"/>
    </row>
    <row r="40" spans="2:16" hidden="1" x14ac:dyDescent="0.25">
      <c r="B40" s="165" t="s">
        <v>93</v>
      </c>
      <c r="C40" s="38">
        <v>4550718</v>
      </c>
      <c r="D40" s="173"/>
      <c r="E40" s="190"/>
      <c r="G40" s="175"/>
      <c r="H40" s="217"/>
      <c r="I40" s="175"/>
      <c r="J40" s="184"/>
      <c r="K40" s="38"/>
      <c r="L40" s="38"/>
      <c r="N40" s="36"/>
      <c r="O40" s="36"/>
      <c r="P40" s="36"/>
    </row>
    <row r="41" spans="2:16" hidden="1" x14ac:dyDescent="0.25">
      <c r="C41" s="38"/>
      <c r="D41" s="175"/>
      <c r="E41" s="173"/>
      <c r="G41" s="175"/>
      <c r="H41" s="218"/>
      <c r="I41" s="175"/>
      <c r="J41" s="38"/>
      <c r="K41" s="38"/>
      <c r="L41" s="38"/>
      <c r="N41" s="36"/>
      <c r="O41" s="36"/>
      <c r="P41" s="36"/>
    </row>
    <row r="42" spans="2:16" ht="20.25" hidden="1" thickBot="1" x14ac:dyDescent="0.35">
      <c r="B42" s="161" t="s">
        <v>284</v>
      </c>
      <c r="C42" s="38"/>
      <c r="D42" s="175"/>
      <c r="E42" s="220"/>
      <c r="G42" s="175"/>
      <c r="H42" s="218"/>
      <c r="I42" s="175"/>
      <c r="J42" s="38"/>
      <c r="K42" s="38"/>
      <c r="L42" s="38"/>
      <c r="N42" s="36"/>
      <c r="O42" s="36"/>
      <c r="P42" s="36"/>
    </row>
    <row r="43" spans="2:16" hidden="1" x14ac:dyDescent="0.25">
      <c r="B43" s="165" t="s">
        <v>87</v>
      </c>
      <c r="C43" s="38">
        <f>7265929+3420+278</f>
        <v>7269627</v>
      </c>
      <c r="D43" s="175"/>
      <c r="E43" s="173"/>
      <c r="G43" s="175"/>
      <c r="H43" s="217"/>
      <c r="I43" s="175"/>
      <c r="J43" s="38"/>
      <c r="K43" s="38"/>
      <c r="L43" s="38"/>
      <c r="N43" s="36"/>
      <c r="O43" s="36"/>
      <c r="P43" s="36"/>
    </row>
    <row r="44" spans="2:16" hidden="1" x14ac:dyDescent="0.25">
      <c r="B44" s="164" t="s">
        <v>42</v>
      </c>
      <c r="C44" s="38">
        <f>1347280*0.44</f>
        <v>592803.19999999995</v>
      </c>
      <c r="D44" s="184"/>
      <c r="E44" s="173"/>
      <c r="G44" s="175"/>
      <c r="H44" s="217"/>
      <c r="I44" s="175"/>
      <c r="J44" s="38"/>
      <c r="K44" s="38"/>
      <c r="L44" s="38"/>
      <c r="N44" s="36"/>
      <c r="O44" s="36"/>
      <c r="P44" s="36"/>
    </row>
    <row r="45" spans="2:16" hidden="1" x14ac:dyDescent="0.25">
      <c r="B45" s="164" t="s">
        <v>94</v>
      </c>
      <c r="C45" s="38">
        <v>710515</v>
      </c>
      <c r="D45" s="175"/>
      <c r="E45" s="190"/>
      <c r="G45" s="175"/>
      <c r="H45" s="217"/>
      <c r="I45" s="175"/>
      <c r="J45" s="38"/>
      <c r="K45" s="38"/>
      <c r="L45" s="38"/>
      <c r="N45" s="36"/>
      <c r="O45" s="36"/>
      <c r="P45" s="36"/>
    </row>
    <row r="46" spans="2:16" hidden="1" x14ac:dyDescent="0.25">
      <c r="C46" s="38"/>
      <c r="D46" s="175"/>
      <c r="E46" s="173"/>
      <c r="G46" s="175"/>
      <c r="H46" s="218"/>
      <c r="I46" s="175"/>
      <c r="J46" s="38"/>
      <c r="K46" s="38"/>
      <c r="L46" s="38"/>
      <c r="N46" s="36"/>
      <c r="O46" s="36"/>
      <c r="P46" s="36"/>
    </row>
    <row r="47" spans="2:16" ht="20.25" hidden="1" thickBot="1" x14ac:dyDescent="0.35">
      <c r="B47" s="161" t="s">
        <v>90</v>
      </c>
      <c r="C47" s="38">
        <f>+C43+C40</f>
        <v>11820345</v>
      </c>
      <c r="D47" s="175"/>
      <c r="E47" s="190"/>
      <c r="G47" s="175"/>
      <c r="H47" s="218"/>
      <c r="I47" s="175"/>
      <c r="J47" s="38"/>
      <c r="K47" s="38"/>
      <c r="L47" s="38"/>
      <c r="N47" s="36"/>
      <c r="O47" s="36"/>
      <c r="P47" s="36"/>
    </row>
    <row r="48" spans="2:16" hidden="1" x14ac:dyDescent="0.25">
      <c r="C48" s="38">
        <v>1154420</v>
      </c>
      <c r="D48" s="175"/>
      <c r="E48" s="173"/>
      <c r="G48" s="175"/>
      <c r="H48" s="217"/>
      <c r="I48" s="175"/>
      <c r="J48" s="38"/>
      <c r="K48" s="38"/>
      <c r="L48" s="38"/>
      <c r="N48" s="36"/>
      <c r="O48" s="36"/>
      <c r="P48" s="36"/>
    </row>
    <row r="49" spans="2:16" hidden="1" x14ac:dyDescent="0.25">
      <c r="C49" s="38"/>
      <c r="D49" s="175"/>
      <c r="E49" s="173"/>
      <c r="G49" s="175"/>
      <c r="H49" s="218"/>
      <c r="I49" s="175"/>
      <c r="J49" s="38"/>
      <c r="K49" s="38"/>
      <c r="L49" s="38"/>
      <c r="N49" s="36"/>
      <c r="O49" s="36"/>
      <c r="P49" s="36"/>
    </row>
    <row r="50" spans="2:16" ht="20.25" hidden="1" thickBot="1" x14ac:dyDescent="0.35">
      <c r="B50" s="161" t="s">
        <v>91</v>
      </c>
      <c r="C50" s="38"/>
      <c r="D50" s="175">
        <f>471930+64180</f>
        <v>536110</v>
      </c>
      <c r="E50" s="190"/>
      <c r="G50" s="175"/>
      <c r="H50" s="217"/>
      <c r="I50" s="175"/>
      <c r="J50" s="38"/>
      <c r="K50" s="38"/>
      <c r="L50" s="38"/>
      <c r="N50" s="36"/>
      <c r="O50" s="36"/>
      <c r="P50" s="36"/>
    </row>
    <row r="51" spans="2:16" hidden="1" x14ac:dyDescent="0.25">
      <c r="C51" s="38"/>
      <c r="D51" s="175"/>
      <c r="E51" s="173"/>
      <c r="G51" s="175"/>
      <c r="H51" s="218"/>
      <c r="I51" s="175"/>
      <c r="J51" s="38"/>
      <c r="K51" s="38"/>
      <c r="L51" s="38"/>
      <c r="N51" s="36"/>
      <c r="O51" s="36"/>
      <c r="P51" s="36"/>
    </row>
    <row r="52" spans="2:16" ht="20.25" hidden="1" thickBot="1" x14ac:dyDescent="0.35">
      <c r="B52" s="161" t="s">
        <v>287</v>
      </c>
      <c r="C52" s="38">
        <v>335130</v>
      </c>
      <c r="D52" s="175"/>
      <c r="E52" s="173"/>
      <c r="G52" s="175"/>
      <c r="H52" s="217"/>
      <c r="I52" s="175"/>
      <c r="J52" s="38"/>
      <c r="K52" s="38"/>
      <c r="L52" s="38"/>
      <c r="N52" s="36"/>
      <c r="O52" s="36"/>
      <c r="P52" s="36"/>
    </row>
    <row r="53" spans="2:16" hidden="1" x14ac:dyDescent="0.25">
      <c r="C53" s="38"/>
      <c r="D53" s="175"/>
      <c r="E53" s="175"/>
      <c r="G53" s="175"/>
      <c r="H53" s="218"/>
      <c r="I53" s="175"/>
      <c r="J53" s="38"/>
      <c r="K53" s="38"/>
      <c r="L53" s="38"/>
      <c r="N53" s="36"/>
      <c r="O53" s="36"/>
      <c r="P53" s="36"/>
    </row>
    <row r="54" spans="2:16" hidden="1" x14ac:dyDescent="0.25">
      <c r="B54" s="188" t="s">
        <v>13</v>
      </c>
      <c r="C54" s="38">
        <f>SUM(C38:C52)</f>
        <v>40775140</v>
      </c>
      <c r="D54" s="38">
        <f>SUM(D38:D52)</f>
        <v>536110</v>
      </c>
      <c r="E54" s="40">
        <f>SUM(E38:E52)</f>
        <v>0</v>
      </c>
      <c r="G54" s="175"/>
      <c r="H54" s="219"/>
      <c r="I54" s="175"/>
      <c r="J54" s="38"/>
      <c r="K54" s="38"/>
      <c r="L54" s="38"/>
      <c r="N54" s="36"/>
      <c r="O54" s="36"/>
      <c r="P54" s="36"/>
    </row>
    <row r="55" spans="2:16" hidden="1" x14ac:dyDescent="0.25">
      <c r="C55" s="38"/>
      <c r="D55" s="185"/>
      <c r="E55" s="175"/>
      <c r="G55" s="175"/>
      <c r="H55" s="218"/>
      <c r="I55" s="175"/>
      <c r="J55" s="38"/>
      <c r="K55" s="38"/>
      <c r="L55" s="38"/>
      <c r="N55" s="36"/>
      <c r="O55" s="36"/>
      <c r="P55" s="36"/>
    </row>
    <row r="56" spans="2:16" hidden="1" x14ac:dyDescent="0.25">
      <c r="B56" s="188" t="s">
        <v>92</v>
      </c>
      <c r="C56" s="38">
        <f>560140+51525+27720+217720+105285+760620+247150+494900+578740+276155+757605-20000+41410</f>
        <v>4098970</v>
      </c>
      <c r="D56" s="175"/>
      <c r="E56" s="175"/>
      <c r="G56" s="175"/>
      <c r="H56" s="217"/>
      <c r="I56" s="175"/>
      <c r="J56" s="38"/>
      <c r="K56" s="38"/>
      <c r="L56" s="38"/>
      <c r="N56" s="36"/>
      <c r="O56" s="36"/>
      <c r="P56" s="36"/>
    </row>
    <row r="57" spans="2:16" hidden="1" x14ac:dyDescent="0.25">
      <c r="C57" s="38"/>
      <c r="D57" s="175"/>
      <c r="E57" s="175"/>
      <c r="G57" s="175"/>
      <c r="H57" s="175"/>
      <c r="I57" s="175"/>
      <c r="J57" s="38"/>
      <c r="K57" s="38"/>
      <c r="L57" s="38"/>
      <c r="N57" s="36"/>
      <c r="O57" s="36"/>
      <c r="P57" s="36"/>
    </row>
    <row r="58" spans="2:16" hidden="1" x14ac:dyDescent="0.25">
      <c r="C58" s="38"/>
      <c r="D58" s="185"/>
      <c r="E58" s="175"/>
      <c r="G58" s="175"/>
      <c r="H58" s="175"/>
      <c r="I58" s="175"/>
      <c r="J58" s="38"/>
      <c r="K58" s="40"/>
      <c r="L58" s="36"/>
      <c r="N58" s="36"/>
      <c r="O58" s="36"/>
      <c r="P58" s="36"/>
    </row>
    <row r="59" spans="2:16" hidden="1" x14ac:dyDescent="0.25">
      <c r="B59" s="188" t="s">
        <v>288</v>
      </c>
      <c r="D59" s="175"/>
      <c r="E59" s="175"/>
      <c r="G59" s="175"/>
      <c r="H59" s="175"/>
      <c r="I59" s="175"/>
      <c r="J59" s="38"/>
      <c r="K59" s="38"/>
      <c r="L59" s="38"/>
      <c r="N59" s="36"/>
      <c r="O59" s="36"/>
      <c r="P59" s="36"/>
    </row>
    <row r="60" spans="2:16" hidden="1" x14ac:dyDescent="0.25">
      <c r="C60" s="38"/>
      <c r="D60" s="175"/>
      <c r="E60" s="175"/>
      <c r="G60" s="175"/>
      <c r="H60" s="175"/>
      <c r="I60" s="175"/>
      <c r="J60" s="38"/>
      <c r="K60" s="183"/>
      <c r="L60" s="183"/>
      <c r="N60" s="36"/>
      <c r="O60" s="36"/>
      <c r="P60" s="36"/>
    </row>
    <row r="61" spans="2:16" hidden="1" x14ac:dyDescent="0.25">
      <c r="C61" s="38"/>
      <c r="D61" s="175"/>
      <c r="E61" s="175"/>
      <c r="G61" s="175"/>
      <c r="H61" s="175"/>
      <c r="I61" s="175"/>
      <c r="J61" s="38"/>
      <c r="K61" s="186"/>
      <c r="L61" s="186"/>
      <c r="N61" s="36"/>
      <c r="O61" s="36"/>
      <c r="P61" s="36"/>
    </row>
    <row r="62" spans="2:16" hidden="1" x14ac:dyDescent="0.25">
      <c r="C62" s="38"/>
      <c r="D62" s="175"/>
      <c r="E62" s="175"/>
      <c r="G62" s="175"/>
      <c r="H62" s="175"/>
      <c r="I62" s="175"/>
      <c r="J62" s="38"/>
      <c r="K62" s="38"/>
      <c r="L62" s="38"/>
      <c r="N62" s="36"/>
      <c r="O62" s="36"/>
      <c r="P62" s="36"/>
    </row>
    <row r="63" spans="2:16" ht="22.5" hidden="1" x14ac:dyDescent="0.3">
      <c r="B63" s="160">
        <v>2013</v>
      </c>
      <c r="C63" s="38"/>
      <c r="D63" s="175"/>
      <c r="E63" s="175"/>
      <c r="G63" s="175"/>
      <c r="H63" s="175"/>
      <c r="I63" s="175"/>
      <c r="J63" s="38"/>
      <c r="K63" s="38"/>
      <c r="L63" s="38"/>
      <c r="N63" s="36"/>
      <c r="O63" s="36"/>
      <c r="P63" s="36"/>
    </row>
    <row r="64" spans="2:16" hidden="1" x14ac:dyDescent="0.25">
      <c r="C64" s="38"/>
      <c r="D64" s="38"/>
      <c r="E64" s="38"/>
      <c r="G64" s="38"/>
      <c r="H64" s="38"/>
      <c r="I64" s="38"/>
      <c r="J64" s="38"/>
      <c r="K64" s="38"/>
      <c r="L64" s="38"/>
      <c r="N64" s="36"/>
      <c r="O64" s="36"/>
      <c r="P64" s="36"/>
    </row>
    <row r="65" spans="2:16" ht="15.75" hidden="1" thickBot="1" x14ac:dyDescent="0.3">
      <c r="B65" s="176" t="s">
        <v>283</v>
      </c>
      <c r="C65" s="176" t="s">
        <v>280</v>
      </c>
      <c r="D65" s="177" t="s">
        <v>285</v>
      </c>
      <c r="E65" t="s">
        <v>89</v>
      </c>
      <c r="G65" s="177"/>
      <c r="H65" s="187"/>
      <c r="I65" s="177"/>
      <c r="J65" s="38"/>
      <c r="K65" s="38"/>
      <c r="L65" s="38"/>
      <c r="N65" s="36"/>
      <c r="O65" s="36"/>
      <c r="P65" s="36"/>
    </row>
    <row r="66" spans="2:16" ht="20.25" hidden="1" thickBot="1" x14ac:dyDescent="0.35">
      <c r="B66" s="161" t="s">
        <v>282</v>
      </c>
      <c r="C66" s="172"/>
      <c r="D66" s="181"/>
      <c r="E66" s="181"/>
      <c r="G66" s="175"/>
      <c r="H66" s="175"/>
      <c r="I66" s="175"/>
      <c r="J66" s="177"/>
      <c r="K66" s="38"/>
      <c r="L66" s="38"/>
      <c r="N66" s="36"/>
      <c r="O66" s="36"/>
      <c r="P66" s="36"/>
    </row>
    <row r="67" spans="2:16" hidden="1" x14ac:dyDescent="0.25">
      <c r="B67" s="179" t="s">
        <v>88</v>
      </c>
      <c r="C67" s="180">
        <v>11889000</v>
      </c>
      <c r="D67" s="182"/>
      <c r="E67" s="189"/>
      <c r="G67" s="181"/>
      <c r="H67" s="181"/>
      <c r="I67" s="181"/>
      <c r="J67" s="38"/>
      <c r="K67" s="38"/>
      <c r="L67" s="38"/>
      <c r="N67" s="36"/>
      <c r="O67" s="36"/>
      <c r="P67" s="36"/>
    </row>
    <row r="68" spans="2:16" hidden="1" x14ac:dyDescent="0.25">
      <c r="B68" s="171" t="s">
        <v>42</v>
      </c>
      <c r="C68" s="184">
        <f>121833+374236*0.22</f>
        <v>204164.91999999998</v>
      </c>
      <c r="D68" s="184">
        <f>+C63*(C68/(C68+C73))</f>
        <v>0</v>
      </c>
      <c r="E68" s="190"/>
      <c r="G68" s="182"/>
      <c r="H68" s="181"/>
      <c r="I68" s="182"/>
      <c r="J68" s="183"/>
      <c r="K68" s="38"/>
      <c r="L68" s="38"/>
      <c r="N68" s="36"/>
      <c r="O68" s="36"/>
      <c r="P68" s="36"/>
    </row>
    <row r="69" spans="2:16" hidden="1" x14ac:dyDescent="0.25">
      <c r="B69" s="165" t="s">
        <v>93</v>
      </c>
      <c r="C69" s="38">
        <v>3959335</v>
      </c>
      <c r="D69" s="175">
        <v>99451.407910567854</v>
      </c>
      <c r="E69" s="190"/>
      <c r="G69" s="175"/>
      <c r="H69" s="181"/>
      <c r="I69" s="175"/>
      <c r="J69" s="186"/>
      <c r="K69" s="38"/>
      <c r="L69" s="38"/>
      <c r="N69" s="36"/>
      <c r="O69" s="36"/>
      <c r="P69" s="36"/>
    </row>
    <row r="70" spans="2:16" hidden="1" x14ac:dyDescent="0.25">
      <c r="C70" s="38"/>
      <c r="D70" s="175"/>
      <c r="E70" s="173"/>
      <c r="G70" s="175"/>
      <c r="H70" s="175"/>
      <c r="I70" s="175"/>
      <c r="J70" s="38"/>
      <c r="K70" s="212"/>
      <c r="L70" s="212"/>
      <c r="N70" s="36"/>
      <c r="O70" s="36"/>
      <c r="P70" s="36"/>
    </row>
    <row r="71" spans="2:16" ht="20.25" hidden="1" thickBot="1" x14ac:dyDescent="0.35">
      <c r="B71" s="161" t="s">
        <v>284</v>
      </c>
      <c r="C71" s="38"/>
      <c r="D71" s="175"/>
      <c r="E71" s="173"/>
      <c r="G71" s="175"/>
      <c r="H71" s="175"/>
      <c r="I71" s="175"/>
      <c r="J71" s="38"/>
      <c r="K71" s="38"/>
      <c r="L71" s="38"/>
      <c r="N71" s="36"/>
      <c r="O71" s="36"/>
      <c r="P71" s="36"/>
    </row>
    <row r="72" spans="2:16" hidden="1" x14ac:dyDescent="0.25">
      <c r="B72" s="165" t="s">
        <v>87</v>
      </c>
      <c r="C72" s="38">
        <v>6333121</v>
      </c>
      <c r="D72" s="175">
        <v>159076.66310579513</v>
      </c>
      <c r="E72" s="173"/>
      <c r="G72" s="175"/>
      <c r="H72" s="181"/>
      <c r="I72" s="175"/>
      <c r="J72" s="38"/>
      <c r="K72" s="38"/>
      <c r="L72" s="38"/>
      <c r="N72" s="36"/>
      <c r="O72" s="36"/>
      <c r="P72" s="36"/>
    </row>
    <row r="73" spans="2:16" hidden="1" x14ac:dyDescent="0.25">
      <c r="B73" s="164" t="s">
        <v>42</v>
      </c>
      <c r="C73" s="38">
        <f>428085+374236*0.78</f>
        <v>719989.08000000007</v>
      </c>
      <c r="D73" s="184">
        <v>0</v>
      </c>
      <c r="E73" s="173"/>
      <c r="G73" s="175"/>
      <c r="H73" s="181"/>
      <c r="I73" s="175"/>
      <c r="J73" s="38"/>
      <c r="K73" s="38"/>
      <c r="L73" s="38"/>
      <c r="N73" s="36"/>
      <c r="O73" s="36"/>
      <c r="P73" s="36"/>
    </row>
    <row r="74" spans="2:16" hidden="1" x14ac:dyDescent="0.25">
      <c r="B74" s="164" t="s">
        <v>94</v>
      </c>
      <c r="C74" s="38">
        <v>1093427</v>
      </c>
      <c r="D74" s="175">
        <v>27464.928983637019</v>
      </c>
      <c r="E74" s="190"/>
      <c r="G74" s="175"/>
      <c r="H74" s="181"/>
      <c r="I74" s="175"/>
      <c r="J74" s="38"/>
      <c r="K74" s="38"/>
      <c r="L74" s="38"/>
      <c r="N74" s="36"/>
      <c r="O74" s="36"/>
      <c r="P74" s="36"/>
    </row>
    <row r="75" spans="2:16" hidden="1" x14ac:dyDescent="0.25">
      <c r="C75" s="38"/>
      <c r="D75" s="175"/>
      <c r="E75" s="173"/>
      <c r="G75" s="175"/>
      <c r="H75" s="175"/>
      <c r="I75" s="175"/>
      <c r="J75" s="38"/>
      <c r="K75" s="38"/>
      <c r="L75" s="38"/>
      <c r="N75" s="36"/>
      <c r="O75" s="36"/>
      <c r="P75" s="36"/>
    </row>
    <row r="76" spans="2:16" ht="20.25" hidden="1" thickBot="1" x14ac:dyDescent="0.35">
      <c r="B76" s="161" t="s">
        <v>90</v>
      </c>
      <c r="C76" s="38"/>
      <c r="D76" s="175"/>
      <c r="E76" s="190"/>
      <c r="G76" s="175"/>
      <c r="H76" s="175"/>
      <c r="I76" s="175"/>
      <c r="J76" s="38"/>
      <c r="K76" s="38"/>
      <c r="L76" s="38"/>
      <c r="N76" s="36"/>
      <c r="O76" s="36"/>
      <c r="P76" s="36"/>
    </row>
    <row r="77" spans="2:16" hidden="1" x14ac:dyDescent="0.25">
      <c r="B77" s="211"/>
      <c r="C77" s="212">
        <v>539705</v>
      </c>
      <c r="D77" s="213">
        <v>167295</v>
      </c>
      <c r="E77" s="214"/>
      <c r="G77" s="213"/>
      <c r="H77" s="215"/>
      <c r="I77" s="213"/>
      <c r="J77" s="38"/>
      <c r="K77" s="38"/>
      <c r="L77" s="38"/>
      <c r="N77" s="36"/>
      <c r="O77" s="36"/>
      <c r="P77" s="36"/>
    </row>
    <row r="78" spans="2:16" hidden="1" x14ac:dyDescent="0.25">
      <c r="C78" s="38"/>
      <c r="D78" s="175"/>
      <c r="E78" s="173"/>
      <c r="G78" s="175"/>
      <c r="H78" s="175"/>
      <c r="I78" s="175"/>
      <c r="J78" s="212"/>
      <c r="K78" s="38"/>
      <c r="L78" s="38"/>
      <c r="N78" s="36"/>
      <c r="O78" s="36"/>
      <c r="P78" s="36"/>
    </row>
    <row r="79" spans="2:16" ht="20.25" hidden="1" thickBot="1" x14ac:dyDescent="0.35">
      <c r="B79" s="161" t="s">
        <v>91</v>
      </c>
      <c r="C79" s="38"/>
      <c r="D79" s="175"/>
      <c r="E79" s="190"/>
      <c r="G79" s="175"/>
      <c r="H79" s="181"/>
      <c r="I79" s="175"/>
      <c r="J79" s="38"/>
      <c r="K79" s="38"/>
      <c r="L79" s="38"/>
      <c r="N79" s="36"/>
      <c r="O79" s="36"/>
      <c r="P79" s="36"/>
    </row>
    <row r="80" spans="2:16" hidden="1" x14ac:dyDescent="0.25">
      <c r="C80" s="38">
        <v>167200</v>
      </c>
      <c r="D80" s="175">
        <v>120909</v>
      </c>
      <c r="E80" s="173"/>
      <c r="G80" s="175"/>
      <c r="H80" s="181"/>
      <c r="I80" s="175"/>
      <c r="J80" s="38"/>
      <c r="K80" s="38"/>
      <c r="L80" s="38"/>
      <c r="N80" s="36"/>
      <c r="O80" s="36"/>
      <c r="P80" s="36"/>
    </row>
    <row r="81" spans="2:16" ht="20.25" hidden="1" thickBot="1" x14ac:dyDescent="0.35">
      <c r="B81" s="161" t="s">
        <v>287</v>
      </c>
      <c r="C81" s="38"/>
      <c r="D81" s="175"/>
      <c r="E81" s="173"/>
      <c r="G81" s="175"/>
      <c r="H81" s="181"/>
      <c r="I81" s="175"/>
      <c r="J81" s="38"/>
      <c r="K81" s="38"/>
      <c r="L81" s="38"/>
      <c r="N81" s="36"/>
      <c r="O81" s="36"/>
      <c r="P81" s="36"/>
    </row>
    <row r="82" spans="2:16" hidden="1" x14ac:dyDescent="0.25">
      <c r="C82" s="38"/>
      <c r="D82" s="175"/>
      <c r="E82" s="175"/>
      <c r="G82" s="175"/>
      <c r="H82" s="175"/>
      <c r="I82" s="175"/>
      <c r="J82" s="38"/>
      <c r="N82" s="36"/>
      <c r="O82" s="36"/>
      <c r="P82" s="36"/>
    </row>
    <row r="83" spans="2:16" hidden="1" x14ac:dyDescent="0.25">
      <c r="B83" s="188" t="s">
        <v>13</v>
      </c>
      <c r="C83" s="38">
        <f>SUM(C67:C81)</f>
        <v>24905942</v>
      </c>
      <c r="D83" s="38">
        <f>SUM(D67:D81)</f>
        <v>574197</v>
      </c>
      <c r="E83" s="40">
        <f>SUM(E67:E81)</f>
        <v>0</v>
      </c>
      <c r="G83" s="175"/>
      <c r="H83" s="38"/>
      <c r="I83" s="175"/>
      <c r="J83" s="38"/>
      <c r="N83" s="36"/>
      <c r="O83" s="36"/>
      <c r="P83" s="36"/>
    </row>
    <row r="84" spans="2:16" hidden="1" x14ac:dyDescent="0.25">
      <c r="C84" s="38"/>
      <c r="D84" s="185"/>
      <c r="E84" s="175"/>
      <c r="G84" s="175"/>
      <c r="H84" s="175"/>
      <c r="I84" s="175"/>
      <c r="J84" s="38"/>
      <c r="N84" s="36"/>
      <c r="O84" s="36"/>
      <c r="P84" s="36"/>
    </row>
    <row r="85" spans="2:16" hidden="1" x14ac:dyDescent="0.25">
      <c r="B85" s="188" t="s">
        <v>92</v>
      </c>
      <c r="C85" s="38">
        <v>3284000</v>
      </c>
      <c r="D85" s="175"/>
      <c r="E85" s="175"/>
      <c r="G85" s="175"/>
      <c r="H85" s="181"/>
      <c r="I85" s="175"/>
      <c r="J85" s="38"/>
      <c r="K85" s="38"/>
      <c r="L85" s="38"/>
      <c r="N85" s="36"/>
      <c r="O85" s="36"/>
      <c r="P85" s="36"/>
    </row>
    <row r="86" spans="2:16" hidden="1" x14ac:dyDescent="0.25">
      <c r="C86" s="38"/>
      <c r="D86" s="175"/>
      <c r="E86" s="175"/>
      <c r="G86" s="175"/>
      <c r="H86" s="175"/>
      <c r="I86" s="175"/>
      <c r="J86" s="38"/>
      <c r="K86" s="38"/>
      <c r="L86" s="38"/>
      <c r="N86" s="36"/>
      <c r="O86" s="36"/>
      <c r="P86" s="36"/>
    </row>
    <row r="87" spans="2:16" hidden="1" x14ac:dyDescent="0.25">
      <c r="C87" s="38"/>
      <c r="D87" s="185"/>
      <c r="E87" s="175"/>
      <c r="G87" s="175"/>
      <c r="H87" s="175"/>
      <c r="I87" s="175"/>
      <c r="J87" s="38"/>
      <c r="K87" s="40"/>
      <c r="L87" s="36"/>
      <c r="N87" s="36"/>
      <c r="O87" s="36"/>
      <c r="P87" s="36"/>
    </row>
    <row r="88" spans="2:16" hidden="1" x14ac:dyDescent="0.25">
      <c r="B88" s="188" t="s">
        <v>288</v>
      </c>
      <c r="C88" s="38"/>
      <c r="D88" s="175"/>
      <c r="E88" s="175"/>
      <c r="G88" s="175"/>
      <c r="H88" s="175"/>
      <c r="I88" s="175"/>
      <c r="J88" s="38"/>
      <c r="K88" s="38"/>
      <c r="L88" s="38"/>
      <c r="N88" s="36"/>
      <c r="O88" s="36"/>
      <c r="P88" s="36"/>
    </row>
    <row r="89" spans="2:16" hidden="1" x14ac:dyDescent="0.25">
      <c r="J89" s="38"/>
      <c r="K89" s="183"/>
      <c r="L89" s="183"/>
      <c r="N89" s="36"/>
      <c r="O89" s="36"/>
      <c r="P89" s="36"/>
    </row>
    <row r="90" spans="2:16" hidden="1" x14ac:dyDescent="0.25">
      <c r="K90" s="186"/>
      <c r="L90" s="186"/>
      <c r="N90" s="36"/>
      <c r="O90" s="36"/>
      <c r="P90" s="36"/>
    </row>
    <row r="91" spans="2:16" hidden="1" x14ac:dyDescent="0.25">
      <c r="K91" s="38"/>
      <c r="L91" s="38"/>
      <c r="N91" s="36"/>
      <c r="O91" s="36"/>
      <c r="P91" s="36"/>
    </row>
    <row r="92" spans="2:16" ht="22.5" hidden="1" x14ac:dyDescent="0.3">
      <c r="B92" s="160" t="s">
        <v>289</v>
      </c>
      <c r="C92" s="38"/>
      <c r="D92" s="175"/>
      <c r="E92" s="175"/>
      <c r="G92" s="175"/>
      <c r="H92" s="175"/>
      <c r="I92" s="175"/>
      <c r="K92" s="38"/>
      <c r="L92" s="38"/>
      <c r="N92" s="36"/>
      <c r="O92" s="36"/>
      <c r="P92" s="36"/>
    </row>
    <row r="93" spans="2:16" hidden="1" x14ac:dyDescent="0.25">
      <c r="C93" s="38"/>
      <c r="D93" s="38"/>
      <c r="E93" s="38"/>
      <c r="G93" s="38"/>
      <c r="H93" s="38"/>
      <c r="I93" s="38"/>
      <c r="J93" s="38"/>
      <c r="K93" s="38"/>
      <c r="L93" s="38"/>
      <c r="N93" s="36"/>
      <c r="O93" s="36"/>
      <c r="P93" s="36"/>
    </row>
    <row r="94" spans="2:16" ht="15.75" hidden="1" thickBot="1" x14ac:dyDescent="0.3">
      <c r="B94" s="176" t="s">
        <v>283</v>
      </c>
      <c r="C94" s="176" t="s">
        <v>280</v>
      </c>
      <c r="D94" s="177" t="s">
        <v>285</v>
      </c>
      <c r="E94" t="s">
        <v>89</v>
      </c>
      <c r="G94" s="177"/>
      <c r="H94" s="187"/>
      <c r="I94" s="177"/>
      <c r="J94" s="38"/>
      <c r="K94" s="38"/>
      <c r="L94" s="38"/>
      <c r="N94" s="36"/>
      <c r="O94" s="36"/>
      <c r="P94" s="36"/>
    </row>
    <row r="95" spans="2:16" ht="20.25" hidden="1" thickBot="1" x14ac:dyDescent="0.35">
      <c r="B95" s="161" t="s">
        <v>282</v>
      </c>
      <c r="C95" s="172"/>
      <c r="D95" s="181"/>
      <c r="E95" s="181"/>
      <c r="G95" s="175"/>
      <c r="H95" s="175"/>
      <c r="I95" s="175"/>
      <c r="J95" s="177"/>
      <c r="K95" s="38"/>
      <c r="L95" s="38"/>
      <c r="N95" s="36"/>
      <c r="O95" s="36"/>
      <c r="P95" s="36"/>
    </row>
    <row r="96" spans="2:16" hidden="1" x14ac:dyDescent="0.25">
      <c r="B96" s="179" t="s">
        <v>88</v>
      </c>
      <c r="C96" s="180">
        <v>13815000</v>
      </c>
      <c r="D96" s="182"/>
      <c r="E96" s="189"/>
      <c r="G96" s="181"/>
      <c r="H96" s="181"/>
      <c r="I96" s="181"/>
      <c r="J96" s="38"/>
      <c r="K96" s="38"/>
      <c r="L96" s="38"/>
      <c r="N96" s="36"/>
      <c r="O96" s="36"/>
      <c r="P96" s="36"/>
    </row>
    <row r="97" spans="2:16" hidden="1" x14ac:dyDescent="0.25">
      <c r="B97" s="171" t="s">
        <v>42</v>
      </c>
      <c r="C97" s="38">
        <v>199822</v>
      </c>
      <c r="D97" s="184">
        <v>23400</v>
      </c>
      <c r="E97" s="190">
        <v>139888.80000000002</v>
      </c>
      <c r="G97" s="182"/>
      <c r="H97" s="181"/>
      <c r="I97" s="182"/>
      <c r="J97" s="183"/>
      <c r="K97" s="38"/>
      <c r="L97" s="38"/>
      <c r="N97" s="36"/>
      <c r="O97" s="36"/>
      <c r="P97" s="36"/>
    </row>
    <row r="98" spans="2:16" hidden="1" x14ac:dyDescent="0.25">
      <c r="B98" s="165" t="s">
        <v>93</v>
      </c>
      <c r="C98" s="38">
        <v>4566266</v>
      </c>
      <c r="D98" s="175"/>
      <c r="E98" s="190"/>
      <c r="G98" s="175"/>
      <c r="H98" s="181"/>
      <c r="I98" s="175"/>
      <c r="J98" s="186"/>
      <c r="K98" s="38"/>
      <c r="L98" s="38"/>
      <c r="N98" s="36"/>
      <c r="O98" s="36"/>
      <c r="P98" s="36"/>
    </row>
    <row r="99" spans="2:16" hidden="1" x14ac:dyDescent="0.25">
      <c r="C99" s="38"/>
      <c r="D99" s="175"/>
      <c r="E99" s="173"/>
      <c r="G99" s="175"/>
      <c r="H99" s="175"/>
      <c r="I99" s="175"/>
      <c r="J99" s="38"/>
      <c r="K99" s="38"/>
      <c r="L99" s="38"/>
      <c r="N99" s="36"/>
      <c r="O99" s="36"/>
      <c r="P99" s="36"/>
    </row>
    <row r="100" spans="2:16" ht="20.25" hidden="1" thickBot="1" x14ac:dyDescent="0.35">
      <c r="B100" s="161" t="s">
        <v>284</v>
      </c>
      <c r="C100" s="38"/>
      <c r="D100" s="175"/>
      <c r="E100" s="173"/>
      <c r="G100" s="175"/>
      <c r="H100" s="175"/>
      <c r="I100" s="175"/>
      <c r="J100" s="38"/>
      <c r="K100" s="38"/>
      <c r="L100" s="38"/>
      <c r="N100" s="36"/>
      <c r="O100" s="36"/>
      <c r="P100" s="36"/>
    </row>
    <row r="101" spans="2:16" hidden="1" x14ac:dyDescent="0.25">
      <c r="B101" s="165" t="s">
        <v>87</v>
      </c>
      <c r="C101" s="38">
        <v>6527229</v>
      </c>
      <c r="D101" s="175"/>
      <c r="E101" s="173"/>
      <c r="G101" s="175"/>
      <c r="H101" s="181"/>
      <c r="I101" s="175"/>
      <c r="J101" s="38"/>
      <c r="K101" s="38"/>
      <c r="L101" s="38"/>
      <c r="N101" s="36"/>
      <c r="O101" s="36"/>
      <c r="P101" s="36"/>
    </row>
    <row r="102" spans="2:16" hidden="1" x14ac:dyDescent="0.25">
      <c r="B102" s="164" t="s">
        <v>42</v>
      </c>
      <c r="C102" s="38">
        <v>695734</v>
      </c>
      <c r="D102" s="184">
        <v>93600</v>
      </c>
      <c r="E102" s="173">
        <v>559555.20000000007</v>
      </c>
      <c r="G102" s="175"/>
      <c r="H102" s="181"/>
      <c r="I102" s="175"/>
      <c r="J102" s="38"/>
      <c r="K102" s="38"/>
      <c r="L102" s="38"/>
      <c r="N102" s="36"/>
      <c r="O102" s="36"/>
      <c r="P102" s="36"/>
    </row>
    <row r="103" spans="2:16" hidden="1" x14ac:dyDescent="0.25">
      <c r="B103" s="164" t="s">
        <v>94</v>
      </c>
      <c r="C103" s="38">
        <v>158000</v>
      </c>
      <c r="D103" s="175"/>
      <c r="E103" s="190"/>
      <c r="G103" s="175"/>
      <c r="H103" s="181"/>
      <c r="I103" s="175"/>
      <c r="J103" s="38"/>
      <c r="K103" s="38"/>
      <c r="L103" s="38"/>
      <c r="N103" s="36"/>
      <c r="O103" s="36"/>
      <c r="P103" s="36"/>
    </row>
    <row r="104" spans="2:16" hidden="1" x14ac:dyDescent="0.25">
      <c r="C104" s="38"/>
      <c r="D104" s="175"/>
      <c r="E104" s="173"/>
      <c r="G104" s="175"/>
      <c r="H104" s="175"/>
      <c r="I104" s="175"/>
      <c r="J104" s="38"/>
      <c r="K104" s="38"/>
      <c r="L104" s="38"/>
      <c r="N104" s="36"/>
      <c r="O104" s="36"/>
      <c r="P104" s="36"/>
    </row>
    <row r="105" spans="2:16" ht="20.25" hidden="1" thickBot="1" x14ac:dyDescent="0.35">
      <c r="B105" s="161" t="s">
        <v>90</v>
      </c>
      <c r="C105" s="38"/>
      <c r="D105" s="175"/>
      <c r="E105" s="190"/>
      <c r="G105" s="175"/>
      <c r="H105" s="175"/>
      <c r="I105" s="175"/>
      <c r="J105" s="38"/>
      <c r="K105" s="38"/>
      <c r="L105" s="38"/>
      <c r="N105" s="36"/>
      <c r="O105" s="36"/>
      <c r="P105" s="36"/>
    </row>
    <row r="106" spans="2:16" hidden="1" x14ac:dyDescent="0.25">
      <c r="C106" s="38">
        <v>568680</v>
      </c>
      <c r="D106" s="175">
        <v>145320</v>
      </c>
      <c r="E106" s="173"/>
      <c r="G106" s="175"/>
      <c r="H106" s="181"/>
      <c r="I106" s="175"/>
      <c r="J106" s="38"/>
      <c r="K106" s="38"/>
      <c r="L106" s="38"/>
      <c r="N106" s="36"/>
      <c r="O106" s="36"/>
      <c r="P106" s="36"/>
    </row>
    <row r="107" spans="2:16" hidden="1" x14ac:dyDescent="0.25">
      <c r="C107" s="38"/>
      <c r="D107" s="175"/>
      <c r="E107" s="173"/>
      <c r="G107" s="175"/>
      <c r="H107" s="175"/>
      <c r="I107" s="175"/>
      <c r="J107" s="38"/>
      <c r="K107" s="38"/>
      <c r="L107" s="38"/>
      <c r="N107" s="36"/>
      <c r="O107" s="36"/>
      <c r="P107" s="36"/>
    </row>
    <row r="108" spans="2:16" ht="20.25" hidden="1" thickBot="1" x14ac:dyDescent="0.35">
      <c r="B108" s="161" t="s">
        <v>91</v>
      </c>
      <c r="C108" s="38"/>
      <c r="D108" s="175"/>
      <c r="E108" s="190"/>
      <c r="G108" s="175"/>
      <c r="H108" s="181"/>
      <c r="I108" s="175"/>
      <c r="J108" s="38"/>
      <c r="K108" s="38"/>
      <c r="L108" s="38"/>
      <c r="N108" s="36"/>
      <c r="O108" s="36"/>
      <c r="P108" s="36"/>
    </row>
    <row r="109" spans="2:16" hidden="1" x14ac:dyDescent="0.25">
      <c r="C109" s="38">
        <v>204525</v>
      </c>
      <c r="D109" s="175">
        <v>145475</v>
      </c>
      <c r="E109" s="173"/>
      <c r="G109" s="175"/>
      <c r="H109" s="181"/>
      <c r="I109" s="175"/>
      <c r="J109" s="38"/>
      <c r="K109" s="38"/>
      <c r="L109" s="38"/>
      <c r="N109" s="36"/>
      <c r="O109" s="36"/>
      <c r="P109" s="36"/>
    </row>
    <row r="110" spans="2:16" ht="20.25" hidden="1" thickBot="1" x14ac:dyDescent="0.35">
      <c r="B110" s="161" t="s">
        <v>287</v>
      </c>
      <c r="C110" s="38"/>
      <c r="D110" s="175"/>
      <c r="E110" s="173"/>
      <c r="G110" s="175"/>
      <c r="H110" s="181"/>
      <c r="I110" s="175"/>
      <c r="J110" s="38"/>
      <c r="K110" s="38"/>
      <c r="L110" s="38"/>
      <c r="N110" s="36"/>
      <c r="O110" s="36"/>
      <c r="P110" s="36"/>
    </row>
    <row r="111" spans="2:16" hidden="1" x14ac:dyDescent="0.25">
      <c r="C111" s="38"/>
      <c r="D111" s="175"/>
      <c r="E111" s="175"/>
      <c r="G111" s="175"/>
      <c r="H111" s="175"/>
      <c r="I111" s="175"/>
      <c r="J111" s="38"/>
      <c r="N111" s="36"/>
      <c r="O111" s="36"/>
      <c r="P111" s="36"/>
    </row>
    <row r="112" spans="2:16" hidden="1" x14ac:dyDescent="0.25">
      <c r="B112" s="188" t="s">
        <v>13</v>
      </c>
      <c r="C112" s="38">
        <f>SUM(C96:C110)</f>
        <v>26735256</v>
      </c>
      <c r="D112" s="38">
        <f>SUM(D96:D110)</f>
        <v>407795</v>
      </c>
      <c r="E112" s="40">
        <f>SUM(E96:E110)</f>
        <v>699444.00000000012</v>
      </c>
      <c r="G112" s="175"/>
      <c r="H112" s="38"/>
      <c r="I112" s="175"/>
      <c r="J112" s="38"/>
      <c r="N112" s="36"/>
      <c r="O112" s="36"/>
      <c r="P112" s="36"/>
    </row>
    <row r="113" spans="2:28" hidden="1" x14ac:dyDescent="0.25">
      <c r="C113" s="38"/>
      <c r="D113" s="185"/>
      <c r="E113" s="175"/>
      <c r="G113" s="175"/>
      <c r="H113" s="175"/>
      <c r="I113" s="175"/>
      <c r="J113" s="38"/>
      <c r="N113" s="36"/>
      <c r="O113" s="36"/>
      <c r="P113" s="36"/>
    </row>
    <row r="114" spans="2:28" hidden="1" x14ac:dyDescent="0.25">
      <c r="B114" s="188" t="s">
        <v>92</v>
      </c>
      <c r="C114" s="38">
        <v>3695000</v>
      </c>
      <c r="D114" s="175"/>
      <c r="E114" s="175"/>
      <c r="G114" s="175"/>
      <c r="H114" s="181"/>
      <c r="I114" s="175"/>
      <c r="J114" s="38"/>
      <c r="N114" s="36"/>
      <c r="O114" s="36"/>
      <c r="P114" s="36"/>
      <c r="R114" s="57"/>
    </row>
    <row r="115" spans="2:28" hidden="1" x14ac:dyDescent="0.25">
      <c r="C115" s="38"/>
      <c r="D115" s="175"/>
      <c r="E115" s="175"/>
      <c r="G115" s="175"/>
      <c r="H115" s="175"/>
      <c r="I115" s="175"/>
      <c r="J115" s="38"/>
      <c r="N115" s="36"/>
      <c r="O115" s="36"/>
      <c r="P115" s="36"/>
      <c r="W115" t="s">
        <v>423</v>
      </c>
      <c r="X115" s="426">
        <v>408484</v>
      </c>
      <c r="Y115" s="426"/>
      <c r="AA115" s="426">
        <v>332378</v>
      </c>
      <c r="AB115" t="s">
        <v>425</v>
      </c>
    </row>
    <row r="116" spans="2:28" hidden="1" x14ac:dyDescent="0.25">
      <c r="C116" s="38"/>
      <c r="D116" s="185"/>
      <c r="E116" s="175"/>
      <c r="G116" s="175"/>
      <c r="H116" s="175"/>
      <c r="I116" s="175"/>
      <c r="J116" s="38"/>
      <c r="W116" t="s">
        <v>423</v>
      </c>
      <c r="X116" s="427">
        <v>109108</v>
      </c>
      <c r="Y116" s="427"/>
      <c r="AA116" s="426">
        <v>343167</v>
      </c>
    </row>
    <row r="117" spans="2:28" hidden="1" x14ac:dyDescent="0.25">
      <c r="B117" s="188" t="s">
        <v>288</v>
      </c>
      <c r="C117" s="38">
        <f>+C114+C112</f>
        <v>30430256</v>
      </c>
      <c r="D117" s="38">
        <f>+D114+D112</f>
        <v>407795</v>
      </c>
      <c r="E117" s="38">
        <f>+E114+E112</f>
        <v>699444.00000000012</v>
      </c>
      <c r="G117" s="175"/>
      <c r="H117" s="38"/>
      <c r="I117" s="175"/>
      <c r="J117" s="38"/>
      <c r="W117" t="s">
        <v>424</v>
      </c>
      <c r="X117" s="427">
        <v>230400</v>
      </c>
      <c r="Y117" s="427"/>
      <c r="AA117" s="426">
        <v>109108</v>
      </c>
    </row>
    <row r="118" spans="2:28" hidden="1" x14ac:dyDescent="0.25">
      <c r="H118" s="39"/>
      <c r="J118" s="38"/>
      <c r="X118" s="427">
        <f>SUM(X115:X117)</f>
        <v>747992</v>
      </c>
      <c r="Y118" s="427"/>
      <c r="AA118" s="427">
        <f>SUM(AA115:AA117)</f>
        <v>784653</v>
      </c>
    </row>
    <row r="119" spans="2:28" hidden="1" x14ac:dyDescent="0.25">
      <c r="H119" s="39"/>
    </row>
    <row r="120" spans="2:28" hidden="1" x14ac:dyDescent="0.25">
      <c r="C120">
        <f>3.2*5</f>
        <v>16</v>
      </c>
      <c r="H120" s="39"/>
    </row>
    <row r="122" spans="2:28" x14ac:dyDescent="0.25">
      <c r="N122" s="446"/>
    </row>
    <row r="123" spans="2:28" x14ac:dyDescent="0.25">
      <c r="H123" s="38"/>
    </row>
    <row r="124" spans="2:28" x14ac:dyDescent="0.25">
      <c r="H124" s="39"/>
    </row>
    <row r="125" spans="2:28" x14ac:dyDescent="0.25">
      <c r="H125" s="39"/>
    </row>
  </sheetData>
  <mergeCells count="10">
    <mergeCell ref="K6:L6"/>
    <mergeCell ref="M6:N6"/>
    <mergeCell ref="O6:P6"/>
    <mergeCell ref="S3:S4"/>
    <mergeCell ref="B4:B5"/>
    <mergeCell ref="F4:G5"/>
    <mergeCell ref="C4:C5"/>
    <mergeCell ref="H4:I5"/>
    <mergeCell ref="D4:D5"/>
    <mergeCell ref="E4:E5"/>
  </mergeCells>
  <pageMargins left="0.70866141732283472" right="0.70866141732283472" top="0.74803149606299213" bottom="0.74803149606299213" header="0.31496062992125984" footer="0.31496062992125984"/>
  <pageSetup scale="26" orientation="landscape" r:id="rId1"/>
  <ignoredErrors>
    <ignoredError sqref="G24 G27 E26:E27 E18 E15:E17 E20:E21 E22:E23 C10:D10 H10" formula="1"/>
    <ignoredError sqref="H9 H11 G7:G9 E9 D11:E12 E7 E8 E13 G12 S18" evalError="1"/>
    <ignoredError sqref="G18 G10 E10" evalError="1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B4:H40"/>
  <sheetViews>
    <sheetView showGridLines="0" topLeftCell="A2" zoomScale="120" zoomScaleNormal="120" workbookViewId="0">
      <selection activeCell="B5" sqref="B5:C38"/>
    </sheetView>
  </sheetViews>
  <sheetFormatPr baseColWidth="10" defaultRowHeight="18" x14ac:dyDescent="0.25"/>
  <cols>
    <col min="2" max="2" width="82.85546875" style="102" customWidth="1"/>
    <col min="3" max="3" width="22.5703125" style="103" customWidth="1"/>
    <col min="4" max="4" width="21.28515625" customWidth="1"/>
    <col min="7" max="7" width="20.7109375" customWidth="1"/>
    <col min="8" max="8" width="16" bestFit="1" customWidth="1"/>
    <col min="248" max="248" width="67.85546875" bestFit="1" customWidth="1"/>
    <col min="249" max="249" width="22.5703125" customWidth="1"/>
    <col min="504" max="504" width="67.85546875" bestFit="1" customWidth="1"/>
    <col min="505" max="505" width="22.5703125" customWidth="1"/>
    <col min="760" max="760" width="67.85546875" bestFit="1" customWidth="1"/>
    <col min="761" max="761" width="22.5703125" customWidth="1"/>
    <col min="1016" max="1016" width="67.85546875" bestFit="1" customWidth="1"/>
    <col min="1017" max="1017" width="22.5703125" customWidth="1"/>
    <col min="1272" max="1272" width="67.85546875" bestFit="1" customWidth="1"/>
    <col min="1273" max="1273" width="22.5703125" customWidth="1"/>
    <col min="1528" max="1528" width="67.85546875" bestFit="1" customWidth="1"/>
    <col min="1529" max="1529" width="22.5703125" customWidth="1"/>
    <col min="1784" max="1784" width="67.85546875" bestFit="1" customWidth="1"/>
    <col min="1785" max="1785" width="22.5703125" customWidth="1"/>
    <col min="2040" max="2040" width="67.85546875" bestFit="1" customWidth="1"/>
    <col min="2041" max="2041" width="22.5703125" customWidth="1"/>
    <col min="2296" max="2296" width="67.85546875" bestFit="1" customWidth="1"/>
    <col min="2297" max="2297" width="22.5703125" customWidth="1"/>
    <col min="2552" max="2552" width="67.85546875" bestFit="1" customWidth="1"/>
    <col min="2553" max="2553" width="22.5703125" customWidth="1"/>
    <col min="2808" max="2808" width="67.85546875" bestFit="1" customWidth="1"/>
    <col min="2809" max="2809" width="22.5703125" customWidth="1"/>
    <col min="3064" max="3064" width="67.85546875" bestFit="1" customWidth="1"/>
    <col min="3065" max="3065" width="22.5703125" customWidth="1"/>
    <col min="3320" max="3320" width="67.85546875" bestFit="1" customWidth="1"/>
    <col min="3321" max="3321" width="22.5703125" customWidth="1"/>
    <col min="3576" max="3576" width="67.85546875" bestFit="1" customWidth="1"/>
    <col min="3577" max="3577" width="22.5703125" customWidth="1"/>
    <col min="3832" max="3832" width="67.85546875" bestFit="1" customWidth="1"/>
    <col min="3833" max="3833" width="22.5703125" customWidth="1"/>
    <col min="4088" max="4088" width="67.85546875" bestFit="1" customWidth="1"/>
    <col min="4089" max="4089" width="22.5703125" customWidth="1"/>
    <col min="4344" max="4344" width="67.85546875" bestFit="1" customWidth="1"/>
    <col min="4345" max="4345" width="22.5703125" customWidth="1"/>
    <col min="4600" max="4600" width="67.85546875" bestFit="1" customWidth="1"/>
    <col min="4601" max="4601" width="22.5703125" customWidth="1"/>
    <col min="4856" max="4856" width="67.85546875" bestFit="1" customWidth="1"/>
    <col min="4857" max="4857" width="22.5703125" customWidth="1"/>
    <col min="5112" max="5112" width="67.85546875" bestFit="1" customWidth="1"/>
    <col min="5113" max="5113" width="22.5703125" customWidth="1"/>
    <col min="5368" max="5368" width="67.85546875" bestFit="1" customWidth="1"/>
    <col min="5369" max="5369" width="22.5703125" customWidth="1"/>
    <col min="5624" max="5624" width="67.85546875" bestFit="1" customWidth="1"/>
    <col min="5625" max="5625" width="22.5703125" customWidth="1"/>
    <col min="5880" max="5880" width="67.85546875" bestFit="1" customWidth="1"/>
    <col min="5881" max="5881" width="22.5703125" customWidth="1"/>
    <col min="6136" max="6136" width="67.85546875" bestFit="1" customWidth="1"/>
    <col min="6137" max="6137" width="22.5703125" customWidth="1"/>
    <col min="6392" max="6392" width="67.85546875" bestFit="1" customWidth="1"/>
    <col min="6393" max="6393" width="22.5703125" customWidth="1"/>
    <col min="6648" max="6648" width="67.85546875" bestFit="1" customWidth="1"/>
    <col min="6649" max="6649" width="22.5703125" customWidth="1"/>
    <col min="6904" max="6904" width="67.85546875" bestFit="1" customWidth="1"/>
    <col min="6905" max="6905" width="22.5703125" customWidth="1"/>
    <col min="7160" max="7160" width="67.85546875" bestFit="1" customWidth="1"/>
    <col min="7161" max="7161" width="22.5703125" customWidth="1"/>
    <col min="7416" max="7416" width="67.85546875" bestFit="1" customWidth="1"/>
    <col min="7417" max="7417" width="22.5703125" customWidth="1"/>
    <col min="7672" max="7672" width="67.85546875" bestFit="1" customWidth="1"/>
    <col min="7673" max="7673" width="22.5703125" customWidth="1"/>
    <col min="7928" max="7928" width="67.85546875" bestFit="1" customWidth="1"/>
    <col min="7929" max="7929" width="22.5703125" customWidth="1"/>
    <col min="8184" max="8184" width="67.85546875" bestFit="1" customWidth="1"/>
    <col min="8185" max="8185" width="22.5703125" customWidth="1"/>
    <col min="8440" max="8440" width="67.85546875" bestFit="1" customWidth="1"/>
    <col min="8441" max="8441" width="22.5703125" customWidth="1"/>
    <col min="8696" max="8696" width="67.85546875" bestFit="1" customWidth="1"/>
    <col min="8697" max="8697" width="22.5703125" customWidth="1"/>
    <col min="8952" max="8952" width="67.85546875" bestFit="1" customWidth="1"/>
    <col min="8953" max="8953" width="22.5703125" customWidth="1"/>
    <col min="9208" max="9208" width="67.85546875" bestFit="1" customWidth="1"/>
    <col min="9209" max="9209" width="22.5703125" customWidth="1"/>
    <col min="9464" max="9464" width="67.85546875" bestFit="1" customWidth="1"/>
    <col min="9465" max="9465" width="22.5703125" customWidth="1"/>
    <col min="9720" max="9720" width="67.85546875" bestFit="1" customWidth="1"/>
    <col min="9721" max="9721" width="22.5703125" customWidth="1"/>
    <col min="9976" max="9976" width="67.85546875" bestFit="1" customWidth="1"/>
    <col min="9977" max="9977" width="22.5703125" customWidth="1"/>
    <col min="10232" max="10232" width="67.85546875" bestFit="1" customWidth="1"/>
    <col min="10233" max="10233" width="22.5703125" customWidth="1"/>
    <col min="10488" max="10488" width="67.85546875" bestFit="1" customWidth="1"/>
    <col min="10489" max="10489" width="22.5703125" customWidth="1"/>
    <col min="10744" max="10744" width="67.85546875" bestFit="1" customWidth="1"/>
    <col min="10745" max="10745" width="22.5703125" customWidth="1"/>
    <col min="11000" max="11000" width="67.85546875" bestFit="1" customWidth="1"/>
    <col min="11001" max="11001" width="22.5703125" customWidth="1"/>
    <col min="11256" max="11256" width="67.85546875" bestFit="1" customWidth="1"/>
    <col min="11257" max="11257" width="22.5703125" customWidth="1"/>
    <col min="11512" max="11512" width="67.85546875" bestFit="1" customWidth="1"/>
    <col min="11513" max="11513" width="22.5703125" customWidth="1"/>
    <col min="11768" max="11768" width="67.85546875" bestFit="1" customWidth="1"/>
    <col min="11769" max="11769" width="22.5703125" customWidth="1"/>
    <col min="12024" max="12024" width="67.85546875" bestFit="1" customWidth="1"/>
    <col min="12025" max="12025" width="22.5703125" customWidth="1"/>
    <col min="12280" max="12280" width="67.85546875" bestFit="1" customWidth="1"/>
    <col min="12281" max="12281" width="22.5703125" customWidth="1"/>
    <col min="12536" max="12536" width="67.85546875" bestFit="1" customWidth="1"/>
    <col min="12537" max="12537" width="22.5703125" customWidth="1"/>
    <col min="12792" max="12792" width="67.85546875" bestFit="1" customWidth="1"/>
    <col min="12793" max="12793" width="22.5703125" customWidth="1"/>
    <col min="13048" max="13048" width="67.85546875" bestFit="1" customWidth="1"/>
    <col min="13049" max="13049" width="22.5703125" customWidth="1"/>
    <col min="13304" max="13304" width="67.85546875" bestFit="1" customWidth="1"/>
    <col min="13305" max="13305" width="22.5703125" customWidth="1"/>
    <col min="13560" max="13560" width="67.85546875" bestFit="1" customWidth="1"/>
    <col min="13561" max="13561" width="22.5703125" customWidth="1"/>
    <col min="13816" max="13816" width="67.85546875" bestFit="1" customWidth="1"/>
    <col min="13817" max="13817" width="22.5703125" customWidth="1"/>
    <col min="14072" max="14072" width="67.85546875" bestFit="1" customWidth="1"/>
    <col min="14073" max="14073" width="22.5703125" customWidth="1"/>
    <col min="14328" max="14328" width="67.85546875" bestFit="1" customWidth="1"/>
    <col min="14329" max="14329" width="22.5703125" customWidth="1"/>
    <col min="14584" max="14584" width="67.85546875" bestFit="1" customWidth="1"/>
    <col min="14585" max="14585" width="22.5703125" customWidth="1"/>
    <col min="14840" max="14840" width="67.85546875" bestFit="1" customWidth="1"/>
    <col min="14841" max="14841" width="22.5703125" customWidth="1"/>
    <col min="15096" max="15096" width="67.85546875" bestFit="1" customWidth="1"/>
    <col min="15097" max="15097" width="22.5703125" customWidth="1"/>
    <col min="15352" max="15352" width="67.85546875" bestFit="1" customWidth="1"/>
    <col min="15353" max="15353" width="22.5703125" customWidth="1"/>
    <col min="15608" max="15608" width="67.85546875" bestFit="1" customWidth="1"/>
    <col min="15609" max="15609" width="22.5703125" customWidth="1"/>
    <col min="15864" max="15864" width="67.85546875" bestFit="1" customWidth="1"/>
    <col min="15865" max="15865" width="22.5703125" customWidth="1"/>
    <col min="16120" max="16120" width="67.85546875" bestFit="1" customWidth="1"/>
    <col min="16121" max="16121" width="22.5703125" customWidth="1"/>
  </cols>
  <sheetData>
    <row r="4" spans="2:8" ht="18.75" thickBot="1" x14ac:dyDescent="0.3"/>
    <row r="5" spans="2:8" ht="18.75" thickBot="1" x14ac:dyDescent="0.3">
      <c r="B5" s="108" t="s">
        <v>53</v>
      </c>
      <c r="C5" s="221" t="s">
        <v>54</v>
      </c>
    </row>
    <row r="6" spans="2:8" x14ac:dyDescent="0.25">
      <c r="B6" s="104"/>
      <c r="C6" s="105"/>
      <c r="G6" s="146" t="s">
        <v>455</v>
      </c>
      <c r="H6" s="146"/>
    </row>
    <row r="7" spans="2:8" x14ac:dyDescent="0.25">
      <c r="B7" s="104" t="s">
        <v>454</v>
      </c>
      <c r="C7" s="376">
        <f>+H11</f>
        <v>39340017</v>
      </c>
      <c r="G7" s="146" t="s">
        <v>427</v>
      </c>
      <c r="H7" s="440">
        <v>1614207</v>
      </c>
    </row>
    <row r="8" spans="2:8" x14ac:dyDescent="0.25">
      <c r="B8" s="104"/>
      <c r="C8" s="105"/>
      <c r="G8" s="146" t="s">
        <v>428</v>
      </c>
      <c r="H8" s="440">
        <v>43960978</v>
      </c>
    </row>
    <row r="9" spans="2:8" x14ac:dyDescent="0.25">
      <c r="B9" s="104" t="s">
        <v>323</v>
      </c>
      <c r="C9" s="106">
        <f>+'Presupuesto 2023'!F9*1000</f>
        <v>47375000</v>
      </c>
      <c r="G9" s="146" t="s">
        <v>456</v>
      </c>
      <c r="H9" s="440">
        <v>6235168</v>
      </c>
    </row>
    <row r="10" spans="2:8" x14ac:dyDescent="0.25">
      <c r="B10" s="104"/>
      <c r="C10" s="105"/>
      <c r="G10" s="146"/>
      <c r="H10" s="440"/>
    </row>
    <row r="11" spans="2:8" x14ac:dyDescent="0.25">
      <c r="B11" s="380" t="s">
        <v>457</v>
      </c>
      <c r="C11" s="385">
        <f>+C9+C7</f>
        <v>86715017</v>
      </c>
      <c r="G11" s="146" t="s">
        <v>41</v>
      </c>
      <c r="H11" s="439">
        <f>+H7+H8-H9+H10</f>
        <v>39340017</v>
      </c>
    </row>
    <row r="12" spans="2:8" hidden="1" x14ac:dyDescent="0.25">
      <c r="B12" s="378"/>
      <c r="C12" s="377"/>
    </row>
    <row r="13" spans="2:8" hidden="1" x14ac:dyDescent="0.25">
      <c r="B13" s="378" t="s">
        <v>298</v>
      </c>
      <c r="C13" s="377">
        <v>0</v>
      </c>
    </row>
    <row r="14" spans="2:8" hidden="1" x14ac:dyDescent="0.25">
      <c r="B14" s="378"/>
      <c r="C14" s="377"/>
    </row>
    <row r="15" spans="2:8" hidden="1" x14ac:dyDescent="0.25">
      <c r="B15" s="378" t="s">
        <v>295</v>
      </c>
      <c r="C15" s="377">
        <v>0</v>
      </c>
    </row>
    <row r="16" spans="2:8" hidden="1" x14ac:dyDescent="0.25">
      <c r="B16" s="378"/>
      <c r="C16" s="377"/>
    </row>
    <row r="17" spans="2:8" hidden="1" x14ac:dyDescent="0.25">
      <c r="B17" s="378" t="s">
        <v>299</v>
      </c>
      <c r="C17" s="377">
        <v>0</v>
      </c>
    </row>
    <row r="18" spans="2:8" hidden="1" x14ac:dyDescent="0.25">
      <c r="B18" s="378"/>
      <c r="C18" s="377"/>
    </row>
    <row r="19" spans="2:8" hidden="1" x14ac:dyDescent="0.25">
      <c r="B19" s="378" t="s">
        <v>296</v>
      </c>
      <c r="C19" s="377">
        <v>0</v>
      </c>
    </row>
    <row r="20" spans="2:8" hidden="1" x14ac:dyDescent="0.25">
      <c r="B20" s="378"/>
      <c r="C20" s="377"/>
    </row>
    <row r="21" spans="2:8" ht="18.75" hidden="1" thickBot="1" x14ac:dyDescent="0.3">
      <c r="B21" s="378" t="s">
        <v>297</v>
      </c>
      <c r="C21" s="379">
        <v>0</v>
      </c>
    </row>
    <row r="22" spans="2:8" hidden="1" x14ac:dyDescent="0.25">
      <c r="B22" s="104"/>
      <c r="C22" s="105"/>
    </row>
    <row r="23" spans="2:8" hidden="1" x14ac:dyDescent="0.25">
      <c r="B23" s="107" t="s">
        <v>399</v>
      </c>
      <c r="C23" s="105">
        <f>SUM(C11:C21)</f>
        <v>86715017</v>
      </c>
    </row>
    <row r="24" spans="2:8" x14ac:dyDescent="0.25">
      <c r="B24" s="104"/>
      <c r="C24" s="105"/>
    </row>
    <row r="25" spans="2:8" x14ac:dyDescent="0.25">
      <c r="B25" s="104" t="s">
        <v>458</v>
      </c>
      <c r="C25" s="338">
        <f>+'Presupuesto 2023'!F13*1000</f>
        <v>43074000</v>
      </c>
      <c r="G25" s="146" t="s">
        <v>461</v>
      </c>
      <c r="H25" s="440"/>
    </row>
    <row r="26" spans="2:8" x14ac:dyDescent="0.25">
      <c r="B26" s="104"/>
      <c r="C26" s="105"/>
      <c r="G26" s="146" t="s">
        <v>100</v>
      </c>
      <c r="H26" s="440">
        <v>19931161</v>
      </c>
    </row>
    <row r="27" spans="2:8" x14ac:dyDescent="0.25">
      <c r="B27" s="107" t="s">
        <v>459</v>
      </c>
      <c r="C27" s="105">
        <f>+C11-C25</f>
        <v>43641017</v>
      </c>
      <c r="G27" s="146" t="s">
        <v>465</v>
      </c>
      <c r="H27" s="463">
        <v>7.7600000000000002E-2</v>
      </c>
    </row>
    <row r="28" spans="2:8" x14ac:dyDescent="0.25">
      <c r="B28" s="107"/>
      <c r="C28" s="105"/>
      <c r="G28" s="146" t="s">
        <v>462</v>
      </c>
      <c r="H28" s="440">
        <f>+H26*(1+H27)</f>
        <v>21477819.093599997</v>
      </c>
    </row>
    <row r="29" spans="2:8" x14ac:dyDescent="0.25">
      <c r="B29" s="104" t="s">
        <v>293</v>
      </c>
      <c r="C29" s="385">
        <f>+'Presupuesto 2023'!P33</f>
        <v>2285162</v>
      </c>
    </row>
    <row r="30" spans="2:8" x14ac:dyDescent="0.25">
      <c r="B30" s="104"/>
      <c r="C30" s="105"/>
    </row>
    <row r="31" spans="2:8" x14ac:dyDescent="0.25">
      <c r="B31" s="104" t="s">
        <v>55</v>
      </c>
      <c r="C31" s="438">
        <f>+H28</f>
        <v>21477819.093599997</v>
      </c>
    </row>
    <row r="32" spans="2:8" x14ac:dyDescent="0.25">
      <c r="B32" s="104"/>
      <c r="C32" s="105"/>
    </row>
    <row r="33" spans="2:3" x14ac:dyDescent="0.25">
      <c r="B33" s="107" t="s">
        <v>460</v>
      </c>
      <c r="C33" s="105">
        <f>C27-C31-C29</f>
        <v>19878035.906400003</v>
      </c>
    </row>
    <row r="34" spans="2:3" x14ac:dyDescent="0.25">
      <c r="B34" s="104"/>
      <c r="C34" s="105"/>
    </row>
    <row r="35" spans="2:3" x14ac:dyDescent="0.25">
      <c r="B35" s="104" t="s">
        <v>464</v>
      </c>
      <c r="C35" s="106">
        <f>+'Presupuesto 2023'!H10*1000-'Presupuesto 2023'!P33</f>
        <v>8723803.0000000037</v>
      </c>
    </row>
    <row r="36" spans="2:3" x14ac:dyDescent="0.25">
      <c r="B36" s="104"/>
      <c r="C36" s="105"/>
    </row>
    <row r="37" spans="2:3" ht="18.75" thickBot="1" x14ac:dyDescent="0.3">
      <c r="B37" s="107" t="s">
        <v>463</v>
      </c>
      <c r="C37" s="105">
        <f>+C33-C35</f>
        <v>11154232.906399999</v>
      </c>
    </row>
    <row r="38" spans="2:3" ht="18.75" thickBot="1" x14ac:dyDescent="0.3">
      <c r="B38" s="108"/>
      <c r="C38" s="221"/>
    </row>
    <row r="40" spans="2:3" hidden="1" x14ac:dyDescent="0.25">
      <c r="B40" s="224" t="s">
        <v>300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3:N20"/>
  <sheetViews>
    <sheetView showGridLines="0" zoomScale="140" zoomScaleNormal="140" workbookViewId="0">
      <selection activeCell="A16" sqref="A16"/>
    </sheetView>
  </sheetViews>
  <sheetFormatPr baseColWidth="10" defaultRowHeight="15" x14ac:dyDescent="0.25"/>
  <cols>
    <col min="1" max="1" width="22.28515625" customWidth="1"/>
    <col min="2" max="2" width="16" bestFit="1" customWidth="1"/>
    <col min="3" max="11" width="12.140625" bestFit="1" customWidth="1"/>
    <col min="12" max="13" width="15" bestFit="1" customWidth="1"/>
    <col min="14" max="14" width="13.28515625" bestFit="1" customWidth="1"/>
  </cols>
  <sheetData>
    <row r="3" spans="1:14" x14ac:dyDescent="0.25">
      <c r="A3" t="s">
        <v>453</v>
      </c>
    </row>
    <row r="5" spans="1:14" x14ac:dyDescent="0.25">
      <c r="A5" t="s">
        <v>401</v>
      </c>
    </row>
    <row r="6" spans="1:14" ht="22.15" customHeight="1" x14ac:dyDescent="0.25">
      <c r="A6" s="113" t="s">
        <v>74</v>
      </c>
      <c r="B6" s="113" t="s">
        <v>56</v>
      </c>
      <c r="C6" s="113" t="s">
        <v>57</v>
      </c>
      <c r="D6" s="113" t="s">
        <v>58</v>
      </c>
      <c r="E6" s="113" t="s">
        <v>59</v>
      </c>
      <c r="F6" s="113" t="s">
        <v>60</v>
      </c>
      <c r="G6" s="113" t="s">
        <v>61</v>
      </c>
      <c r="H6" s="113" t="s">
        <v>62</v>
      </c>
      <c r="I6" s="113" t="s">
        <v>63</v>
      </c>
      <c r="J6" s="113" t="s">
        <v>64</v>
      </c>
      <c r="K6" s="113" t="s">
        <v>65</v>
      </c>
      <c r="L6" s="113" t="s">
        <v>66</v>
      </c>
      <c r="M6" s="113" t="s">
        <v>67</v>
      </c>
      <c r="N6" s="113" t="s">
        <v>71</v>
      </c>
    </row>
    <row r="7" spans="1:14" ht="22.15" customHeight="1" x14ac:dyDescent="0.25">
      <c r="A7" s="110" t="s">
        <v>68</v>
      </c>
      <c r="B7" s="111">
        <f>+'Mov. Superavit'!C27/1000</f>
        <v>43641.017</v>
      </c>
      <c r="C7" s="111">
        <f>+B11</f>
        <v>46688.384021744874</v>
      </c>
      <c r="D7" s="111">
        <f>+C11</f>
        <v>48430.516494274249</v>
      </c>
      <c r="E7" s="111">
        <f>+D11+5000-412</f>
        <v>51399.542837652742</v>
      </c>
      <c r="F7" s="111">
        <f t="shared" ref="F7:M7" si="0">+E11</f>
        <v>50525.75173901087</v>
      </c>
      <c r="G7" s="111">
        <f>+F11</f>
        <v>48726.456226870214</v>
      </c>
      <c r="H7" s="111">
        <f t="shared" si="0"/>
        <v>47052.841960979888</v>
      </c>
      <c r="I7" s="111">
        <f t="shared" si="0"/>
        <v>44064.378863908903</v>
      </c>
      <c r="J7" s="111">
        <f t="shared" si="0"/>
        <v>43838.67327435303</v>
      </c>
      <c r="K7" s="111">
        <f t="shared" si="0"/>
        <v>42054.633606749987</v>
      </c>
      <c r="L7" s="111">
        <f t="shared" si="0"/>
        <v>39080.095968648951</v>
      </c>
      <c r="M7" s="111">
        <f t="shared" si="0"/>
        <v>36059.172503062167</v>
      </c>
      <c r="N7" s="112">
        <f>+B7+5000-412</f>
        <v>48229.017</v>
      </c>
    </row>
    <row r="8" spans="1:14" ht="22.15" customHeight="1" x14ac:dyDescent="0.25">
      <c r="A8" s="110" t="s">
        <v>332</v>
      </c>
      <c r="B8" s="111">
        <f>+B13/1000</f>
        <v>2889.0990082777776</v>
      </c>
      <c r="C8" s="111">
        <f t="shared" ref="C8:M8" si="1">+C13/1000</f>
        <v>2890.5267201111101</v>
      </c>
      <c r="D8" s="111">
        <f t="shared" si="1"/>
        <v>2891.954431944444</v>
      </c>
      <c r="E8" s="111">
        <f t="shared" si="1"/>
        <v>2893.3821437777774</v>
      </c>
      <c r="F8" s="111">
        <f t="shared" si="1"/>
        <v>2894.8098556111099</v>
      </c>
      <c r="G8" s="111">
        <f t="shared" si="1"/>
        <v>2896.2375674444434</v>
      </c>
      <c r="H8" s="111">
        <f t="shared" si="1"/>
        <v>2897.6652792777768</v>
      </c>
      <c r="I8" s="111">
        <f t="shared" si="1"/>
        <v>2899.0929911111093</v>
      </c>
      <c r="J8" s="111">
        <f t="shared" si="1"/>
        <v>2900.5207029444432</v>
      </c>
      <c r="K8" s="111">
        <f t="shared" si="1"/>
        <v>2901.9484147777766</v>
      </c>
      <c r="L8" s="111">
        <f t="shared" si="1"/>
        <v>2903.3761266111101</v>
      </c>
      <c r="M8" s="111">
        <f t="shared" si="1"/>
        <v>2904.8038384444435</v>
      </c>
      <c r="N8" s="112">
        <f t="shared" ref="N8:N9" si="2">SUM(B8:M8)</f>
        <v>34763.417080333325</v>
      </c>
    </row>
    <row r="9" spans="1:14" ht="22.15" customHeight="1" x14ac:dyDescent="0.25">
      <c r="A9" s="110" t="s">
        <v>72</v>
      </c>
      <c r="B9" s="111">
        <f>-('Presupuesto 2023'!$H$13-1860)*B16</f>
        <v>-47.893415763531308</v>
      </c>
      <c r="C9" s="111">
        <f>-('Presupuesto 2023'!$H$13-1860)*C16</f>
        <v>-1355.1412684621985</v>
      </c>
      <c r="D9" s="111">
        <f>-('Presupuesto 2023'!$H$13-1860)*D16</f>
        <v>-4724.1209995947738</v>
      </c>
      <c r="E9" s="111">
        <f>-('Presupuesto 2023'!$H$13-1860)*E16</f>
        <v>-3974.3759509189704</v>
      </c>
      <c r="F9" s="111">
        <f>-('Presupuesto 2023'!$H$13-1860)*F16</f>
        <v>-4881.0506491861033</v>
      </c>
      <c r="G9" s="111">
        <f>-('Presupuesto 2023'!$H$13-1860)*G16</f>
        <v>-4750.1397213741866</v>
      </c>
      <c r="H9" s="111">
        <f>-('Presupuesto 2023'!$H$13-1860)*H16</f>
        <v>-6060.2238916043889</v>
      </c>
      <c r="I9" s="111">
        <f>-('Presupuesto 2023'!$H$13-1860)*I16</f>
        <v>-3287.8367824634474</v>
      </c>
      <c r="J9" s="111">
        <f>-('Presupuesto 2023'!$H$13-1860)*J16</f>
        <v>-4846.7634616625946</v>
      </c>
      <c r="K9" s="111">
        <f>-('Presupuesto 2023'!$H$13-1860)*K16</f>
        <v>-6032.0881972237821</v>
      </c>
      <c r="L9" s="111">
        <f>-('Presupuesto 2023'!$H$13-1860)*L16</f>
        <v>-6068.8959472818933</v>
      </c>
      <c r="M9" s="111">
        <f>-('Presupuesto 2023'!$H$13-1860)*M16</f>
        <v>-11871.434714464127</v>
      </c>
      <c r="N9" s="112">
        <f t="shared" si="2"/>
        <v>-57899.965000000004</v>
      </c>
    </row>
    <row r="10" spans="1:14" ht="22.15" customHeight="1" x14ac:dyDescent="0.25">
      <c r="A10" s="110" t="s">
        <v>69</v>
      </c>
      <c r="B10" s="111">
        <f>(+B8+B7)*(B12/12)+34</f>
        <v>206.16142923062779</v>
      </c>
      <c r="C10" s="111">
        <f>+B11*$B$12/12+34</f>
        <v>206.74702088045603</v>
      </c>
      <c r="D10" s="111">
        <f>+C11*$B$12/12+34</f>
        <v>213.19291102881473</v>
      </c>
      <c r="E10" s="111">
        <f>+D11*$B$12/12+34</f>
        <v>207.20270849931515</v>
      </c>
      <c r="F10" s="111">
        <f>+E11*$B$12/12</f>
        <v>186.94528143434022</v>
      </c>
      <c r="G10" s="111">
        <f t="shared" ref="G10:M10" si="3">+F11*$B$12/12</f>
        <v>180.28788803941981</v>
      </c>
      <c r="H10" s="111">
        <f t="shared" si="3"/>
        <v>174.0955152556256</v>
      </c>
      <c r="I10" s="111">
        <f t="shared" si="3"/>
        <v>163.03820179646294</v>
      </c>
      <c r="J10" s="111">
        <f t="shared" si="3"/>
        <v>162.20309111510622</v>
      </c>
      <c r="K10" s="111">
        <f t="shared" si="3"/>
        <v>155.60214434497496</v>
      </c>
      <c r="L10" s="111">
        <f t="shared" si="3"/>
        <v>144.59635508400112</v>
      </c>
      <c r="M10" s="111">
        <f t="shared" si="3"/>
        <v>133.41893826133003</v>
      </c>
      <c r="N10" s="112">
        <f>SUM(B10:M10)</f>
        <v>2133.4914849704746</v>
      </c>
    </row>
    <row r="11" spans="1:14" ht="22.15" customHeight="1" x14ac:dyDescent="0.25">
      <c r="A11" s="110" t="s">
        <v>70</v>
      </c>
      <c r="B11" s="111">
        <f>SUM(B7:B10)</f>
        <v>46688.384021744874</v>
      </c>
      <c r="C11" s="111">
        <f t="shared" ref="C11:N11" si="4">SUM(C7:C10)</f>
        <v>48430.516494274249</v>
      </c>
      <c r="D11" s="111">
        <f t="shared" si="4"/>
        <v>46811.542837652742</v>
      </c>
      <c r="E11" s="111">
        <f t="shared" si="4"/>
        <v>50525.75173901087</v>
      </c>
      <c r="F11" s="111">
        <f t="shared" si="4"/>
        <v>48726.456226870214</v>
      </c>
      <c r="G11" s="111">
        <f t="shared" si="4"/>
        <v>47052.841960979888</v>
      </c>
      <c r="H11" s="111">
        <f t="shared" si="4"/>
        <v>44064.378863908903</v>
      </c>
      <c r="I11" s="111">
        <f t="shared" si="4"/>
        <v>43838.67327435303</v>
      </c>
      <c r="J11" s="111">
        <f t="shared" si="4"/>
        <v>42054.633606749987</v>
      </c>
      <c r="K11" s="111">
        <f t="shared" si="4"/>
        <v>39080.095968648951</v>
      </c>
      <c r="L11" s="111">
        <f t="shared" si="4"/>
        <v>36059.172503062167</v>
      </c>
      <c r="M11" s="111">
        <f t="shared" si="4"/>
        <v>27225.960565303812</v>
      </c>
      <c r="N11" s="111">
        <f t="shared" si="4"/>
        <v>27225.960565303802</v>
      </c>
    </row>
    <row r="12" spans="1:14" x14ac:dyDescent="0.25">
      <c r="A12" t="s">
        <v>452</v>
      </c>
      <c r="B12" s="381">
        <v>4.4400000000000002E-2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</row>
    <row r="13" spans="1:14" x14ac:dyDescent="0.25">
      <c r="A13" s="222" t="s">
        <v>451</v>
      </c>
      <c r="B13" s="444">
        <v>2889099.0082777776</v>
      </c>
      <c r="C13" s="444">
        <v>2890526.7201111102</v>
      </c>
      <c r="D13" s="444">
        <v>2891954.4319444438</v>
      </c>
      <c r="E13" s="444">
        <v>2893382.1437777774</v>
      </c>
      <c r="F13" s="444">
        <v>2894809.8556111101</v>
      </c>
      <c r="G13" s="444">
        <v>2896237.5674444432</v>
      </c>
      <c r="H13" s="444">
        <v>2897665.2792777768</v>
      </c>
      <c r="I13" s="444">
        <v>2899092.9911111095</v>
      </c>
      <c r="J13" s="444">
        <v>2900520.7029444431</v>
      </c>
      <c r="K13" s="444">
        <v>2901948.4147777767</v>
      </c>
      <c r="L13" s="444">
        <v>2903376.1266111103</v>
      </c>
      <c r="M13" s="444">
        <v>2904803.8384444434</v>
      </c>
      <c r="N13" s="445">
        <f>SUM(B13:M13)</f>
        <v>34763417.080333322</v>
      </c>
    </row>
    <row r="14" spans="1:14" x14ac:dyDescent="0.25">
      <c r="B14" s="437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</row>
    <row r="15" spans="1:14" x14ac:dyDescent="0.25">
      <c r="B15" s="382">
        <v>125</v>
      </c>
      <c r="C15" s="382">
        <v>849</v>
      </c>
      <c r="D15" s="382">
        <v>2668</v>
      </c>
      <c r="E15" s="382">
        <v>3989</v>
      </c>
      <c r="F15" s="382">
        <v>4848</v>
      </c>
      <c r="G15" s="382">
        <v>2800</v>
      </c>
      <c r="H15" s="382">
        <v>1920</v>
      </c>
      <c r="I15" s="382">
        <v>2617</v>
      </c>
      <c r="J15" s="382">
        <v>2279</v>
      </c>
      <c r="K15" s="382">
        <v>2326</v>
      </c>
      <c r="L15" s="382">
        <v>2618</v>
      </c>
      <c r="M15" s="382">
        <v>5881</v>
      </c>
      <c r="N15" s="383">
        <f>+O15/1000</f>
        <v>0</v>
      </c>
    </row>
    <row r="16" spans="1:14" x14ac:dyDescent="0.25">
      <c r="B16" s="384">
        <v>8.2717521096137628E-4</v>
      </c>
      <c r="C16" s="384">
        <v>2.3404871979839682E-2</v>
      </c>
      <c r="D16" s="384">
        <v>8.1591085583467518E-2</v>
      </c>
      <c r="E16" s="384">
        <v>6.8642113184679304E-2</v>
      </c>
      <c r="F16" s="384">
        <v>8.4301443864190639E-2</v>
      </c>
      <c r="G16" s="384">
        <v>8.2040459288260134E-2</v>
      </c>
      <c r="H16" s="384">
        <v>0.10466714257261449</v>
      </c>
      <c r="I16" s="384">
        <v>5.6784780136973266E-2</v>
      </c>
      <c r="J16" s="384">
        <v>8.3709264101672509E-2</v>
      </c>
      <c r="K16" s="384">
        <v>0.10418120627920556</v>
      </c>
      <c r="L16" s="384">
        <v>0.10481691909972472</v>
      </c>
      <c r="M16" s="384">
        <v>0.20503353869841073</v>
      </c>
      <c r="N16" s="370"/>
    </row>
    <row r="17" spans="2:14" x14ac:dyDescent="0.25">
      <c r="B17" s="382"/>
      <c r="C17" s="382"/>
      <c r="D17" s="382"/>
      <c r="E17" s="382"/>
      <c r="F17" s="382"/>
      <c r="G17" s="382"/>
      <c r="H17" s="382"/>
      <c r="I17" s="382"/>
      <c r="J17" s="382"/>
      <c r="K17" s="382"/>
      <c r="L17" s="382"/>
      <c r="M17" s="382"/>
      <c r="N17" s="370"/>
    </row>
    <row r="18" spans="2:14" x14ac:dyDescent="0.25">
      <c r="B18" s="382"/>
      <c r="C18" s="382"/>
      <c r="D18" s="382"/>
      <c r="E18" s="382"/>
      <c r="F18" s="382"/>
      <c r="G18" s="382"/>
      <c r="H18" s="382"/>
      <c r="I18" s="382"/>
      <c r="J18" s="382"/>
      <c r="K18" s="382"/>
      <c r="L18" s="382"/>
      <c r="M18" s="382"/>
      <c r="N18" s="370"/>
    </row>
    <row r="19" spans="2:14" x14ac:dyDescent="0.25">
      <c r="B19" s="382">
        <v>92</v>
      </c>
      <c r="C19" s="382">
        <v>538</v>
      </c>
      <c r="D19" s="382">
        <v>1562</v>
      </c>
      <c r="E19" s="382">
        <v>2421</v>
      </c>
      <c r="F19" s="382">
        <v>4041</v>
      </c>
      <c r="G19" s="382">
        <v>6056</v>
      </c>
      <c r="H19" s="382">
        <v>7976</v>
      </c>
      <c r="I19" s="382">
        <v>10593</v>
      </c>
      <c r="J19" s="382">
        <v>12872</v>
      </c>
      <c r="K19" s="382">
        <v>15198</v>
      </c>
      <c r="L19" s="382">
        <v>17816</v>
      </c>
      <c r="M19" s="382">
        <v>23697</v>
      </c>
      <c r="N19" s="370"/>
    </row>
    <row r="20" spans="2:14" x14ac:dyDescent="0.25">
      <c r="B20" s="383">
        <f>+B19</f>
        <v>92</v>
      </c>
      <c r="C20" s="383">
        <f>+C19-B19</f>
        <v>446</v>
      </c>
      <c r="D20" s="383">
        <f t="shared" ref="D20:M20" si="5">+D19-C19</f>
        <v>1024</v>
      </c>
      <c r="E20" s="383">
        <f t="shared" si="5"/>
        <v>859</v>
      </c>
      <c r="F20" s="383">
        <f t="shared" si="5"/>
        <v>1620</v>
      </c>
      <c r="G20" s="383">
        <f t="shared" si="5"/>
        <v>2015</v>
      </c>
      <c r="H20" s="383">
        <f t="shared" si="5"/>
        <v>1920</v>
      </c>
      <c r="I20" s="383">
        <f t="shared" si="5"/>
        <v>2617</v>
      </c>
      <c r="J20" s="383">
        <f t="shared" si="5"/>
        <v>2279</v>
      </c>
      <c r="K20" s="383">
        <f t="shared" si="5"/>
        <v>2326</v>
      </c>
      <c r="L20" s="383">
        <f t="shared" si="5"/>
        <v>2618</v>
      </c>
      <c r="M20" s="383">
        <f t="shared" si="5"/>
        <v>5881</v>
      </c>
      <c r="N20" s="370"/>
    </row>
  </sheetData>
  <pageMargins left="0.7" right="0.7" top="0.75" bottom="0.75" header="0.3" footer="0.3"/>
  <pageSetup orientation="portrait" r:id="rId1"/>
  <ignoredErrors>
    <ignoredError sqref="K11:N11 K7:M7 K10:M10" evalError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B8:J28"/>
  <sheetViews>
    <sheetView topLeftCell="A8" zoomScaleNormal="100" workbookViewId="0">
      <selection activeCell="C8" sqref="C8"/>
    </sheetView>
  </sheetViews>
  <sheetFormatPr baseColWidth="10" defaultRowHeight="15" x14ac:dyDescent="0.25"/>
  <cols>
    <col min="2" max="2" width="48.28515625" customWidth="1"/>
    <col min="3" max="3" width="15.140625" bestFit="1" customWidth="1"/>
  </cols>
  <sheetData>
    <row r="8" spans="2:10" ht="26.25" x14ac:dyDescent="0.35">
      <c r="B8" s="406" t="s">
        <v>411</v>
      </c>
      <c r="C8" s="407">
        <v>2020</v>
      </c>
      <c r="D8" s="408">
        <v>2021</v>
      </c>
      <c r="E8" s="408">
        <v>2022</v>
      </c>
      <c r="F8" s="408">
        <v>2023</v>
      </c>
      <c r="G8" s="408">
        <v>2024</v>
      </c>
    </row>
    <row r="9" spans="2:10" ht="18.75" x14ac:dyDescent="0.25">
      <c r="B9" s="409" t="s">
        <v>334</v>
      </c>
      <c r="C9" s="410">
        <f>+'Presupuesto 2023'!$H$18/1000</f>
        <v>46.038607000000006</v>
      </c>
      <c r="D9" s="410">
        <f>+C9*(1-$C$23)</f>
        <v>40.513974160000004</v>
      </c>
      <c r="E9" s="410">
        <f t="shared" ref="E9" si="0">+D9*(1-$C$23)</f>
        <v>35.652297260800005</v>
      </c>
      <c r="F9" s="410">
        <v>32</v>
      </c>
      <c r="G9" s="410">
        <v>34</v>
      </c>
      <c r="I9" s="36">
        <f>+F9/E9-1</f>
        <v>-0.10244212971980726</v>
      </c>
      <c r="J9" s="36">
        <f>+G9/F9-1</f>
        <v>6.25E-2</v>
      </c>
    </row>
    <row r="10" spans="2:10" ht="18.75" x14ac:dyDescent="0.25">
      <c r="B10" s="409" t="s">
        <v>372</v>
      </c>
      <c r="C10" s="410">
        <f>+'Presupuesto 2023'!$H$24/1000</f>
        <v>1.425165</v>
      </c>
      <c r="D10" s="410">
        <f>+C10*(1+$C$24)</f>
        <v>1.4536683000000001</v>
      </c>
      <c r="E10" s="410">
        <f t="shared" ref="E10:G10" si="1">+D10*(1+$C$24)</f>
        <v>1.4827416660000001</v>
      </c>
      <c r="F10" s="410">
        <f t="shared" si="1"/>
        <v>1.5123964993200001</v>
      </c>
      <c r="G10" s="410">
        <f t="shared" si="1"/>
        <v>1.5426444293064001</v>
      </c>
    </row>
    <row r="11" spans="2:10" ht="18.75" x14ac:dyDescent="0.25">
      <c r="B11" s="409" t="s">
        <v>19</v>
      </c>
      <c r="C11" s="410">
        <f>+'Presupuesto 2023'!$H$26/1000</f>
        <v>8.3961929999999985</v>
      </c>
      <c r="D11" s="410">
        <v>5.3</v>
      </c>
      <c r="E11" s="410">
        <f t="shared" ref="E11:G11" si="2">+D11*(1+$C$25)</f>
        <v>5.3529999999999998</v>
      </c>
      <c r="F11" s="410">
        <f t="shared" si="2"/>
        <v>5.4065300000000001</v>
      </c>
      <c r="G11" s="410">
        <f t="shared" si="2"/>
        <v>5.4605953000000005</v>
      </c>
    </row>
    <row r="12" spans="2:10" ht="18.75" x14ac:dyDescent="0.25">
      <c r="B12" s="409" t="s">
        <v>429</v>
      </c>
      <c r="C12" s="410">
        <f>+'Presupuesto 2023'!$H$28/1000</f>
        <v>3.9</v>
      </c>
      <c r="D12" s="410">
        <v>0.4</v>
      </c>
      <c r="E12" s="410">
        <f t="shared" ref="E12:G12" si="3">D12</f>
        <v>0.4</v>
      </c>
      <c r="F12" s="410">
        <f t="shared" si="3"/>
        <v>0.4</v>
      </c>
      <c r="G12" s="410">
        <f t="shared" si="3"/>
        <v>0.4</v>
      </c>
    </row>
    <row r="13" spans="2:10" ht="18.75" x14ac:dyDescent="0.25">
      <c r="B13" s="409" t="s">
        <v>412</v>
      </c>
      <c r="C13" s="411">
        <f>SUM(C9:C12)</f>
        <v>59.759965000000001</v>
      </c>
      <c r="D13" s="411">
        <f t="shared" ref="D13:G13" si="4">SUM(D9:D12)</f>
        <v>47.667642459999996</v>
      </c>
      <c r="E13" s="411">
        <f t="shared" si="4"/>
        <v>42.888038926800007</v>
      </c>
      <c r="F13" s="411">
        <f t="shared" si="4"/>
        <v>39.318926499319993</v>
      </c>
      <c r="G13" s="411">
        <f t="shared" si="4"/>
        <v>41.403239729306399</v>
      </c>
    </row>
    <row r="14" spans="2:10" ht="18.75" x14ac:dyDescent="0.25">
      <c r="B14" s="409" t="s">
        <v>413</v>
      </c>
      <c r="C14" s="412">
        <f>+'[2]Ejecuciones '!J10</f>
        <v>38.4</v>
      </c>
      <c r="D14" s="412">
        <f>+C14*(1+$C$22)</f>
        <v>39.552</v>
      </c>
      <c r="E14" s="412">
        <f t="shared" ref="E14:G14" si="5">+D14*(1+$C$22)</f>
        <v>40.73856</v>
      </c>
      <c r="F14" s="412">
        <f t="shared" si="5"/>
        <v>41.9607168</v>
      </c>
      <c r="G14" s="412">
        <f t="shared" si="5"/>
        <v>43.219538304000004</v>
      </c>
    </row>
    <row r="15" spans="2:10" ht="18.75" x14ac:dyDescent="0.25">
      <c r="B15" s="413" t="s">
        <v>379</v>
      </c>
      <c r="C15" s="414">
        <f>+'Mov. Superavit'!C27/1000000</f>
        <v>43.641016999999998</v>
      </c>
      <c r="D15" s="410">
        <f>+C16</f>
        <v>22.281051999999995</v>
      </c>
      <c r="E15" s="410">
        <f t="shared" ref="E15:G15" si="6">+D16</f>
        <v>14.165409539999999</v>
      </c>
      <c r="F15" s="410">
        <f t="shared" si="6"/>
        <v>12.015930613199991</v>
      </c>
      <c r="G15" s="410">
        <f t="shared" si="6"/>
        <v>14.657720913879999</v>
      </c>
    </row>
    <row r="16" spans="2:10" ht="18.75" x14ac:dyDescent="0.25">
      <c r="B16" s="413" t="s">
        <v>414</v>
      </c>
      <c r="C16" s="410">
        <f>+C15+C14-C13</f>
        <v>22.281051999999995</v>
      </c>
      <c r="D16" s="410">
        <f>+D15+D14-D13</f>
        <v>14.165409539999999</v>
      </c>
      <c r="E16" s="410">
        <f t="shared" ref="E16:G16" si="7">+E15+E14-E13</f>
        <v>12.015930613199991</v>
      </c>
      <c r="F16" s="410">
        <f t="shared" si="7"/>
        <v>14.657720913879999</v>
      </c>
      <c r="G16" s="410">
        <f t="shared" si="7"/>
        <v>16.474019488573603</v>
      </c>
    </row>
    <row r="18" spans="2:7" ht="21" x14ac:dyDescent="0.35">
      <c r="B18" s="415" t="s">
        <v>415</v>
      </c>
      <c r="C18" s="416">
        <f>+C11/C14</f>
        <v>0.21865085937499998</v>
      </c>
      <c r="D18" s="416">
        <f t="shared" ref="D18:G18" si="8">+D11/D14</f>
        <v>0.13400080906148867</v>
      </c>
      <c r="E18" s="416">
        <f t="shared" si="8"/>
        <v>0.13139885160398404</v>
      </c>
      <c r="F18" s="416">
        <f t="shared" si="8"/>
        <v>0.12884741759225618</v>
      </c>
      <c r="G18" s="416">
        <f t="shared" si="8"/>
        <v>0.12634552598852306</v>
      </c>
    </row>
    <row r="19" spans="2:7" ht="21" x14ac:dyDescent="0.35">
      <c r="B19" s="417" t="s">
        <v>416</v>
      </c>
      <c r="C19" s="418">
        <f>+C11/C13</f>
        <v>0.14049862646338562</v>
      </c>
      <c r="D19" s="418">
        <f t="shared" ref="D19:G19" si="9">+D11/D13</f>
        <v>0.11118653506825855</v>
      </c>
      <c r="E19" s="418">
        <f t="shared" si="9"/>
        <v>0.12481335435122917</v>
      </c>
      <c r="F19" s="418">
        <f t="shared" si="9"/>
        <v>0.13750451707000455</v>
      </c>
      <c r="G19" s="418">
        <f t="shared" si="9"/>
        <v>0.13188811638174378</v>
      </c>
    </row>
    <row r="21" spans="2:7" ht="37.5" x14ac:dyDescent="0.25">
      <c r="B21" s="419" t="s">
        <v>283</v>
      </c>
      <c r="C21" s="420" t="s">
        <v>417</v>
      </c>
    </row>
    <row r="22" spans="2:7" ht="35.25" customHeight="1" x14ac:dyDescent="0.25">
      <c r="B22" s="421" t="s">
        <v>418</v>
      </c>
      <c r="C22" s="422">
        <f>+F22/100</f>
        <v>0.03</v>
      </c>
      <c r="F22" s="146">
        <v>3</v>
      </c>
    </row>
    <row r="23" spans="2:7" ht="28.5" customHeight="1" x14ac:dyDescent="0.25">
      <c r="B23" s="423" t="s">
        <v>419</v>
      </c>
      <c r="C23" s="424">
        <f>+F23/100</f>
        <v>0.12</v>
      </c>
      <c r="F23" s="146">
        <v>12</v>
      </c>
    </row>
    <row r="24" spans="2:7" ht="28.5" customHeight="1" x14ac:dyDescent="0.25">
      <c r="B24" s="423" t="s">
        <v>420</v>
      </c>
      <c r="C24" s="424">
        <f>+F24/100</f>
        <v>0.02</v>
      </c>
      <c r="F24" s="146">
        <v>2</v>
      </c>
    </row>
    <row r="25" spans="2:7" ht="37.5" customHeight="1" x14ac:dyDescent="0.25">
      <c r="B25" s="423" t="s">
        <v>421</v>
      </c>
      <c r="C25" s="424">
        <f>+F25/100</f>
        <v>0.01</v>
      </c>
      <c r="F25" s="146">
        <v>1</v>
      </c>
    </row>
    <row r="28" spans="2:7" ht="18.75" x14ac:dyDescent="0.25">
      <c r="B28" s="425" t="s">
        <v>422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Spinner 1">
              <controlPr defaultSize="0" autoPict="0">
                <anchor moveWithCells="1" sizeWithCells="1">
                  <from>
                    <xdr:col>4</xdr:col>
                    <xdr:colOff>76200</xdr:colOff>
                    <xdr:row>21</xdr:row>
                    <xdr:rowOff>57150</xdr:rowOff>
                  </from>
                  <to>
                    <xdr:col>4</xdr:col>
                    <xdr:colOff>685800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Spinner 2">
              <controlPr defaultSize="0" autoPict="0">
                <anchor moveWithCells="1" sizeWithCells="1">
                  <from>
                    <xdr:col>4</xdr:col>
                    <xdr:colOff>85725</xdr:colOff>
                    <xdr:row>22</xdr:row>
                    <xdr:rowOff>19050</xdr:rowOff>
                  </from>
                  <to>
                    <xdr:col>4</xdr:col>
                    <xdr:colOff>704850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Spinner 3">
              <controlPr defaultSize="0" autoPict="0">
                <anchor moveWithCells="1" sizeWithCells="1">
                  <from>
                    <xdr:col>4</xdr:col>
                    <xdr:colOff>104775</xdr:colOff>
                    <xdr:row>23</xdr:row>
                    <xdr:rowOff>85725</xdr:rowOff>
                  </from>
                  <to>
                    <xdr:col>4</xdr:col>
                    <xdr:colOff>685800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0" r:id="rId7" name="Spinner 4">
              <controlPr defaultSize="0" autoPict="0">
                <anchor moveWithCells="1" sizeWithCells="1">
                  <from>
                    <xdr:col>4</xdr:col>
                    <xdr:colOff>85725</xdr:colOff>
                    <xdr:row>24</xdr:row>
                    <xdr:rowOff>95250</xdr:rowOff>
                  </from>
                  <to>
                    <xdr:col>4</xdr:col>
                    <xdr:colOff>695325</xdr:colOff>
                    <xdr:row>24</xdr:row>
                    <xdr:rowOff>371475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23</vt:i4>
      </vt:variant>
      <vt:variant>
        <vt:lpstr>Rangos con nombre</vt:lpstr>
      </vt:variant>
      <vt:variant>
        <vt:i4>2</vt:i4>
      </vt:variant>
    </vt:vector>
  </HeadingPairs>
  <TitlesOfParts>
    <vt:vector size="25" baseType="lpstr">
      <vt:lpstr>Presupuesto 2014 ESC.1</vt:lpstr>
      <vt:lpstr>Presupuesto 2014 ESC.1 (2)</vt:lpstr>
      <vt:lpstr>Presupuesto 2022 (3)</vt:lpstr>
      <vt:lpstr>Presupuesto 2022 (2)</vt:lpstr>
      <vt:lpstr>Presupuesto 18-21</vt:lpstr>
      <vt:lpstr>Presupuesto 2023</vt:lpstr>
      <vt:lpstr>Mov. Superavit</vt:lpstr>
      <vt:lpstr>Intereses</vt:lpstr>
      <vt:lpstr>Proyección del Superavit</vt:lpstr>
      <vt:lpstr>Gráfico Mov. Superávit</vt:lpstr>
      <vt:lpstr>Plan Estratégico</vt:lpstr>
      <vt:lpstr>Conciliacion 2016-17</vt:lpstr>
      <vt:lpstr>Base Datos Cierres </vt:lpstr>
      <vt:lpstr>Tabla Cierres</vt:lpstr>
      <vt:lpstr>Centros de Formación</vt:lpstr>
      <vt:lpstr>Presupuesto 2016</vt:lpstr>
      <vt:lpstr>Liquidación Pto 2014</vt:lpstr>
      <vt:lpstr>Hoja1</vt:lpstr>
      <vt:lpstr>Equilibrio Formación</vt:lpstr>
      <vt:lpstr>Presupuesto DGP FINAL</vt:lpstr>
      <vt:lpstr>PTOS 2011-2012+ OPS 1 Y2</vt:lpstr>
      <vt:lpstr>Capacitación con PATI</vt:lpstr>
      <vt:lpstr>Pasivo por U.ORG.</vt:lpstr>
      <vt:lpstr>'Presupuesto DGP FINAL'!total</vt:lpstr>
      <vt:lpstr>'PTOS 2011-2012+ OPS 1 Y2'!total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ufi_fredy</dc:creator>
  <cp:lastModifiedBy>Jorge Echegoyen</cp:lastModifiedBy>
  <cp:lastPrinted>2014-02-12T18:03:36Z</cp:lastPrinted>
  <dcterms:created xsi:type="dcterms:W3CDTF">2012-05-29T00:04:43Z</dcterms:created>
  <dcterms:modified xsi:type="dcterms:W3CDTF">2022-09-01T00:22:32Z</dcterms:modified>
</cp:coreProperties>
</file>